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DE UTSJR Y PERSONALES\PORTAL DE TRANSPARENCIA\Estados Financieros LDF 1er Trim 2017\"/>
    </mc:Choice>
  </mc:AlternateContent>
  <bookViews>
    <workbookView xWindow="0" yWindow="0" windowWidth="21600" windowHeight="9135" tabRatio="895" firstSheet="1" activeTab="1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</sheets>
  <externalReferences>
    <externalReference r:id="rId30"/>
  </externalReferences>
  <definedNames>
    <definedName name="_xlnm._FilterDatabase" localSheetId="6" hidden="1">SCA!$B$9:$J$75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SCRI!$B$10:$H$106</definedName>
    <definedName name="_xlnm._FilterDatabase" localSheetId="9" hidden="1">SCTG!$B$10:$J$16</definedName>
    <definedName name="_xlnm._FilterDatabase" localSheetId="19" hidden="1">SFF!$B$10:$J$20</definedName>
    <definedName name="_xlnm.Print_Area" localSheetId="24">BP!$A$1:$G$81</definedName>
    <definedName name="_xlnm.Print_Area" localSheetId="8">CA!$A$1:$I$49</definedName>
    <definedName name="_xlnm.Print_Area" localSheetId="7">CAdmon!$A$1:$J$88</definedName>
    <definedName name="_xlnm.Print_Area" localSheetId="22">CFF!$A$1:$J$39</definedName>
    <definedName name="_xlnm.Print_Area" localSheetId="16">CFFF!$A$1:$J$90</definedName>
    <definedName name="_xlnm.Print_Area" localSheetId="15">CFG!$A$1:$J$56</definedName>
    <definedName name="_xlnm.Print_Area" localSheetId="12">COG!$A$1:$J$97</definedName>
    <definedName name="_xlnm.Print_Area" localSheetId="13">COGCC!$A$1:$J$87,COGCC!$A$90:$J$188</definedName>
    <definedName name="_xlnm.Print_Area" localSheetId="18">CProg!$A$1:$K$57</definedName>
    <definedName name="_xlnm.Print_Area" localSheetId="25">CSPC!$A$1:$J$50</definedName>
    <definedName name="_xlnm.Print_Area" localSheetId="20">'EA (2)'!$A$1:$K$64</definedName>
    <definedName name="_xlnm.Print_Area" localSheetId="4">EAI!$A$1:$K$66</definedName>
    <definedName name="_xlnm.Print_Area" localSheetId="5">EAID!$A$1:$J$92</definedName>
    <definedName name="_xlnm.Print_Area" localSheetId="27">'End Neto'!$A$1:$J$44</definedName>
    <definedName name="_xlnm.Print_Area" localSheetId="21">'ESF (2)'!$A$1:$L$75</definedName>
    <definedName name="_xlnm.Print_Area" localSheetId="26">Int!$A$1:$F$46</definedName>
    <definedName name="_xlnm.Print_Area" localSheetId="23">'Post Fiscal'!$A$1:$G$51</definedName>
    <definedName name="_xlnm.Print_Area" localSheetId="6">SCA!$A$1:$K$76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SCRI!$A$1:$I$107</definedName>
    <definedName name="_xlnm.Print_Area" localSheetId="9">SCTG!$A$1:$K$18</definedName>
    <definedName name="_xlnm.Print_Area" localSheetId="19">SFF!$A$1:$K$20</definedName>
    <definedName name="COMPROBACIÓN_TOTALES">Comprobación!$E$2</definedName>
    <definedName name="Periodos" localSheetId="27">[1]Periodos!$A$2:$A$5</definedName>
    <definedName name="Periodos">Periodos!$A$2:$A$5</definedName>
    <definedName name="RENDICIÓN">PRINCIPAL!$C$2</definedName>
    <definedName name="RENDICIÓN_DE_LA_CUENTA_PÚBLICA" localSheetId="12">#REF!</definedName>
    <definedName name="RENDICIÓN_DE_LA_CUENTA_PÚBLIC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7" l="1"/>
  <c r="B4" i="45" l="1"/>
  <c r="B4" i="42"/>
  <c r="B5" i="38"/>
  <c r="B4" i="41"/>
  <c r="C4" i="4" l="1"/>
  <c r="C4" i="10"/>
  <c r="F44" i="45"/>
  <c r="F43" i="45"/>
  <c r="B44" i="45"/>
  <c r="B43" i="45"/>
  <c r="C7" i="45"/>
  <c r="H12" i="45" l="1"/>
  <c r="H13" i="45"/>
  <c r="H14" i="45"/>
  <c r="H15" i="45"/>
  <c r="H16" i="45"/>
  <c r="H17" i="45"/>
  <c r="H18" i="45"/>
  <c r="H19" i="45"/>
  <c r="H20" i="45"/>
  <c r="D21" i="45"/>
  <c r="H21" i="45" s="1"/>
  <c r="H35" i="45" s="1"/>
  <c r="F21" i="45"/>
  <c r="F35" i="45" s="1"/>
  <c r="H25" i="45"/>
  <c r="H26" i="45"/>
  <c r="H27" i="45"/>
  <c r="H28" i="45"/>
  <c r="H29" i="45"/>
  <c r="H30" i="45"/>
  <c r="H31" i="45"/>
  <c r="H32" i="45"/>
  <c r="D33" i="45"/>
  <c r="F33" i="45"/>
  <c r="H33" i="45"/>
  <c r="D35" i="45" l="1"/>
  <c r="C7" i="42" l="1"/>
  <c r="D45" i="42" l="1"/>
  <c r="D44" i="42"/>
  <c r="C45" i="42"/>
  <c r="C44" i="42"/>
  <c r="B94" i="35"/>
  <c r="B5" i="35"/>
  <c r="D62" i="22" l="1"/>
  <c r="K13" i="44"/>
  <c r="J13" i="44"/>
  <c r="I13" i="44"/>
  <c r="H13" i="44"/>
  <c r="G13" i="44"/>
  <c r="F13" i="44"/>
  <c r="B4" i="40" l="1"/>
  <c r="B4" i="26"/>
  <c r="B4" i="29"/>
  <c r="C4" i="9"/>
  <c r="B5" i="37"/>
  <c r="B4" i="25"/>
  <c r="C4" i="8"/>
  <c r="B4" i="39"/>
  <c r="C4" i="7"/>
  <c r="B4" i="23"/>
  <c r="C4" i="6"/>
  <c r="B5" i="36"/>
  <c r="B4" i="22"/>
  <c r="C3" i="5"/>
  <c r="B4" i="34"/>
  <c r="B4" i="21"/>
  <c r="C17" i="22"/>
  <c r="D21" i="42"/>
  <c r="E21" i="42"/>
  <c r="E37" i="42" s="1"/>
  <c r="D35" i="42"/>
  <c r="E35" i="42"/>
  <c r="D37" i="42" l="1"/>
  <c r="G20" i="21"/>
  <c r="G19" i="21"/>
  <c r="G37" i="39" l="1"/>
  <c r="G36" i="39"/>
  <c r="G39" i="39" l="1"/>
  <c r="G38" i="39" l="1"/>
  <c r="G35" i="39"/>
  <c r="G34" i="39"/>
  <c r="G33" i="39"/>
  <c r="G32" i="39"/>
  <c r="G31" i="39"/>
  <c r="F66" i="41" l="1"/>
  <c r="E66" i="41"/>
  <c r="D52" i="41"/>
  <c r="D49" i="41"/>
  <c r="D36" i="41"/>
  <c r="F18" i="41"/>
  <c r="E18" i="41"/>
  <c r="D18" i="41"/>
  <c r="D80" i="41"/>
  <c r="B80" i="41"/>
  <c r="D79" i="41"/>
  <c r="B79" i="41"/>
  <c r="C7" i="41"/>
  <c r="D50" i="40"/>
  <c r="C50" i="40"/>
  <c r="D49" i="40"/>
  <c r="C49" i="40"/>
  <c r="C7" i="40"/>
  <c r="E36" i="41"/>
  <c r="F36" i="41"/>
  <c r="E49" i="41"/>
  <c r="F49" i="41"/>
  <c r="E52" i="41"/>
  <c r="F52" i="41"/>
  <c r="D61" i="41"/>
  <c r="E61" i="41"/>
  <c r="F61" i="41"/>
  <c r="D66" i="41"/>
  <c r="E13" i="22" l="1"/>
  <c r="G19" i="26"/>
  <c r="G18" i="26"/>
  <c r="G17" i="26"/>
  <c r="G16" i="26"/>
  <c r="G15" i="26"/>
  <c r="G14" i="26"/>
  <c r="G13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4" i="35"/>
  <c r="H173" i="35"/>
  <c r="H172" i="35"/>
  <c r="H171" i="35"/>
  <c r="H170" i="35"/>
  <c r="H169" i="35"/>
  <c r="H168" i="35"/>
  <c r="F41" i="41" s="1"/>
  <c r="F62" i="41" s="1"/>
  <c r="F60" i="41" s="1"/>
  <c r="H166" i="35"/>
  <c r="H165" i="35"/>
  <c r="H164" i="35"/>
  <c r="H162" i="35"/>
  <c r="H161" i="35"/>
  <c r="H160" i="35"/>
  <c r="H159" i="35"/>
  <c r="H158" i="35"/>
  <c r="H157" i="35"/>
  <c r="H156" i="35"/>
  <c r="H154" i="35"/>
  <c r="H153" i="35"/>
  <c r="H152" i="35"/>
  <c r="H150" i="35"/>
  <c r="H149" i="35"/>
  <c r="H148" i="35"/>
  <c r="H147" i="35"/>
  <c r="H146" i="35"/>
  <c r="H145" i="35"/>
  <c r="H144" i="35"/>
  <c r="H143" i="35"/>
  <c r="H142" i="35"/>
  <c r="H140" i="35"/>
  <c r="H139" i="35"/>
  <c r="H138" i="35"/>
  <c r="H137" i="35"/>
  <c r="H136" i="35"/>
  <c r="H135" i="35"/>
  <c r="H134" i="35"/>
  <c r="H133" i="35"/>
  <c r="H132" i="35"/>
  <c r="H130" i="35"/>
  <c r="H129" i="35"/>
  <c r="H128" i="35"/>
  <c r="H127" i="35"/>
  <c r="H126" i="35"/>
  <c r="H125" i="35"/>
  <c r="H124" i="35"/>
  <c r="H123" i="35"/>
  <c r="H122" i="35"/>
  <c r="H120" i="35"/>
  <c r="H119" i="35"/>
  <c r="H118" i="35"/>
  <c r="H117" i="35"/>
  <c r="H116" i="35"/>
  <c r="H115" i="35"/>
  <c r="H114" i="35"/>
  <c r="H113" i="35"/>
  <c r="H112" i="35"/>
  <c r="H110" i="35"/>
  <c r="H109" i="35"/>
  <c r="H108" i="35"/>
  <c r="H107" i="35"/>
  <c r="H106" i="35"/>
  <c r="H105" i="35"/>
  <c r="H104" i="35"/>
  <c r="H85" i="35"/>
  <c r="H84" i="35"/>
  <c r="H83" i="35"/>
  <c r="H82" i="35"/>
  <c r="H81" i="35"/>
  <c r="H80" i="35"/>
  <c r="F29" i="41" s="1"/>
  <c r="H79" i="35"/>
  <c r="F40" i="41" s="1"/>
  <c r="H77" i="35"/>
  <c r="H76" i="35"/>
  <c r="H75" i="35"/>
  <c r="H73" i="35"/>
  <c r="H72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4" i="35"/>
  <c r="G173" i="35"/>
  <c r="G172" i="35"/>
  <c r="G171" i="35"/>
  <c r="G170" i="35"/>
  <c r="G169" i="35"/>
  <c r="E30" i="41" s="1"/>
  <c r="G168" i="35"/>
  <c r="E41" i="41" s="1"/>
  <c r="E62" i="41" s="1"/>
  <c r="E60" i="41" s="1"/>
  <c r="G166" i="35"/>
  <c r="G165" i="35"/>
  <c r="G164" i="35"/>
  <c r="G162" i="35"/>
  <c r="G161" i="35"/>
  <c r="G160" i="35"/>
  <c r="G159" i="35"/>
  <c r="G158" i="35"/>
  <c r="G157" i="35"/>
  <c r="G156" i="35"/>
  <c r="G154" i="35"/>
  <c r="G153" i="35"/>
  <c r="G152" i="35"/>
  <c r="G150" i="35"/>
  <c r="G149" i="35"/>
  <c r="G148" i="35"/>
  <c r="G147" i="35"/>
  <c r="G146" i="35"/>
  <c r="G145" i="35"/>
  <c r="G144" i="35"/>
  <c r="G143" i="35"/>
  <c r="G142" i="35"/>
  <c r="G140" i="35"/>
  <c r="G139" i="35"/>
  <c r="G138" i="35"/>
  <c r="G137" i="35"/>
  <c r="G136" i="35"/>
  <c r="G135" i="35"/>
  <c r="G134" i="35"/>
  <c r="G133" i="35"/>
  <c r="G132" i="35"/>
  <c r="G130" i="35"/>
  <c r="G129" i="35"/>
  <c r="G128" i="35"/>
  <c r="G127" i="35"/>
  <c r="G126" i="35"/>
  <c r="G125" i="35"/>
  <c r="G124" i="35"/>
  <c r="G123" i="35"/>
  <c r="G122" i="35"/>
  <c r="G120" i="35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6" i="35"/>
  <c r="G105" i="35"/>
  <c r="G104" i="35"/>
  <c r="G85" i="35"/>
  <c r="G84" i="35"/>
  <c r="G83" i="35"/>
  <c r="G82" i="35"/>
  <c r="G81" i="35"/>
  <c r="G80" i="35"/>
  <c r="G79" i="35"/>
  <c r="E40" i="41" s="1"/>
  <c r="G77" i="35"/>
  <c r="G76" i="35"/>
  <c r="G75" i="35"/>
  <c r="G73" i="35"/>
  <c r="G72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4" i="35"/>
  <c r="E173" i="35"/>
  <c r="E172" i="35"/>
  <c r="E171" i="35"/>
  <c r="E170" i="35"/>
  <c r="E169" i="35"/>
  <c r="E168" i="35"/>
  <c r="E166" i="35"/>
  <c r="E165" i="35"/>
  <c r="E164" i="35"/>
  <c r="E162" i="35"/>
  <c r="F162" i="35" s="1"/>
  <c r="E161" i="35"/>
  <c r="E160" i="35"/>
  <c r="E159" i="35"/>
  <c r="E158" i="35"/>
  <c r="F158" i="35" s="1"/>
  <c r="E157" i="35"/>
  <c r="E156" i="35"/>
  <c r="E154" i="35"/>
  <c r="E153" i="35"/>
  <c r="E152" i="35"/>
  <c r="E150" i="35"/>
  <c r="E149" i="35"/>
  <c r="E148" i="35"/>
  <c r="E147" i="35"/>
  <c r="E146" i="35"/>
  <c r="E145" i="35"/>
  <c r="E144" i="35"/>
  <c r="F144" i="35" s="1"/>
  <c r="E143" i="35"/>
  <c r="E142" i="35"/>
  <c r="E140" i="35"/>
  <c r="E139" i="35"/>
  <c r="E138" i="35"/>
  <c r="E137" i="35"/>
  <c r="E136" i="35"/>
  <c r="E135" i="35"/>
  <c r="E134" i="35"/>
  <c r="E133" i="35"/>
  <c r="E132" i="35"/>
  <c r="E130" i="35"/>
  <c r="F130" i="35" s="1"/>
  <c r="E129" i="35"/>
  <c r="E128" i="35"/>
  <c r="E127" i="35"/>
  <c r="E126" i="35"/>
  <c r="E125" i="35"/>
  <c r="E124" i="35"/>
  <c r="E123" i="35"/>
  <c r="E122" i="35"/>
  <c r="F122" i="35" s="1"/>
  <c r="E120" i="35"/>
  <c r="E119" i="35"/>
  <c r="E118" i="35"/>
  <c r="E117" i="35"/>
  <c r="E116" i="35"/>
  <c r="E115" i="35"/>
  <c r="E114" i="35"/>
  <c r="E113" i="35"/>
  <c r="E112" i="35"/>
  <c r="E110" i="35"/>
  <c r="E109" i="35"/>
  <c r="E108" i="35"/>
  <c r="F108" i="35" s="1"/>
  <c r="E107" i="35"/>
  <c r="E106" i="35"/>
  <c r="E105" i="35"/>
  <c r="E104" i="35"/>
  <c r="E85" i="35"/>
  <c r="E84" i="35"/>
  <c r="E83" i="35"/>
  <c r="E82" i="35"/>
  <c r="E81" i="35"/>
  <c r="E80" i="35"/>
  <c r="E79" i="35"/>
  <c r="E77" i="35"/>
  <c r="E76" i="35"/>
  <c r="E75" i="35"/>
  <c r="E73" i="35"/>
  <c r="E72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4" i="35"/>
  <c r="D173" i="35"/>
  <c r="D172" i="35"/>
  <c r="D171" i="35"/>
  <c r="D170" i="35"/>
  <c r="D169" i="35"/>
  <c r="D30" i="41" s="1"/>
  <c r="D168" i="35"/>
  <c r="D166" i="35"/>
  <c r="D165" i="35"/>
  <c r="D164" i="35"/>
  <c r="D162" i="35"/>
  <c r="D161" i="35"/>
  <c r="D160" i="35"/>
  <c r="D159" i="35"/>
  <c r="D158" i="35"/>
  <c r="D157" i="35"/>
  <c r="D156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0" i="35"/>
  <c r="F140" i="35" s="1"/>
  <c r="D139" i="35"/>
  <c r="D138" i="35"/>
  <c r="D137" i="35"/>
  <c r="D136" i="35"/>
  <c r="D135" i="35"/>
  <c r="D134" i="35"/>
  <c r="D133" i="35"/>
  <c r="D132" i="35"/>
  <c r="D130" i="35"/>
  <c r="D129" i="35"/>
  <c r="D128" i="35"/>
  <c r="D127" i="35"/>
  <c r="D126" i="35"/>
  <c r="D125" i="35"/>
  <c r="D124" i="35"/>
  <c r="D123" i="35"/>
  <c r="D122" i="35"/>
  <c r="D120" i="35"/>
  <c r="D119" i="35"/>
  <c r="D118" i="35"/>
  <c r="D117" i="35"/>
  <c r="D116" i="35"/>
  <c r="D115" i="35"/>
  <c r="D114" i="35"/>
  <c r="D113" i="35"/>
  <c r="D112" i="35"/>
  <c r="D110" i="35"/>
  <c r="D109" i="35"/>
  <c r="D108" i="35"/>
  <c r="D107" i="35"/>
  <c r="D106" i="35"/>
  <c r="D105" i="35"/>
  <c r="F105" i="35" s="1"/>
  <c r="D104" i="35"/>
  <c r="D85" i="35"/>
  <c r="D84" i="35"/>
  <c r="D83" i="35"/>
  <c r="D82" i="35"/>
  <c r="D81" i="35"/>
  <c r="D80" i="35"/>
  <c r="D29" i="41" s="1"/>
  <c r="D79" i="35"/>
  <c r="D40" i="41" s="1"/>
  <c r="D77" i="35"/>
  <c r="D76" i="35"/>
  <c r="D75" i="35"/>
  <c r="D73" i="35"/>
  <c r="D72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F97" i="39"/>
  <c r="C97" i="39"/>
  <c r="F96" i="39"/>
  <c r="C96" i="39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F25" i="40" s="1"/>
  <c r="G78" i="39"/>
  <c r="E25" i="40" s="1"/>
  <c r="E78" i="39"/>
  <c r="D78" i="39"/>
  <c r="D25" i="40" s="1"/>
  <c r="H77" i="39"/>
  <c r="F33" i="40" s="1"/>
  <c r="G77" i="39"/>
  <c r="E77" i="39"/>
  <c r="E76" i="39" s="1"/>
  <c r="D77" i="39"/>
  <c r="D33" i="40" s="1"/>
  <c r="H75" i="39"/>
  <c r="G75" i="39"/>
  <c r="E75" i="39"/>
  <c r="D75" i="39"/>
  <c r="H74" i="39"/>
  <c r="G74" i="39"/>
  <c r="E74" i="39"/>
  <c r="D74" i="39"/>
  <c r="H73" i="39"/>
  <c r="H72" i="39" s="1"/>
  <c r="G73" i="39"/>
  <c r="G72" i="39" s="1"/>
  <c r="E73" i="39"/>
  <c r="E72" i="39" s="1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G64" i="39" s="1"/>
  <c r="E65" i="39"/>
  <c r="E64" i="39" s="1"/>
  <c r="D65" i="39"/>
  <c r="H63" i="39"/>
  <c r="G63" i="39"/>
  <c r="E63" i="39"/>
  <c r="D63" i="39"/>
  <c r="H62" i="39"/>
  <c r="G62" i="39"/>
  <c r="E62" i="39"/>
  <c r="D62" i="39"/>
  <c r="H61" i="39"/>
  <c r="G61" i="39"/>
  <c r="G60" i="39" s="1"/>
  <c r="E61" i="39"/>
  <c r="E60" i="39" s="1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G50" i="39" s="1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G40" i="39" s="1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G20" i="39" s="1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G13" i="39"/>
  <c r="E13" i="39"/>
  <c r="D13" i="39"/>
  <c r="G12" i="39" l="1"/>
  <c r="G84" i="39" s="1"/>
  <c r="D39" i="41"/>
  <c r="D43" i="41" s="1"/>
  <c r="D50" i="41"/>
  <c r="D48" i="41" s="1"/>
  <c r="G76" i="39"/>
  <c r="E33" i="40"/>
  <c r="D28" i="41"/>
  <c r="E167" i="35"/>
  <c r="E39" i="41"/>
  <c r="E43" i="41" s="1"/>
  <c r="E50" i="41"/>
  <c r="E48" i="41" s="1"/>
  <c r="F17" i="35"/>
  <c r="F21" i="35"/>
  <c r="F26" i="35"/>
  <c r="F30" i="35"/>
  <c r="F35" i="35"/>
  <c r="F39" i="35"/>
  <c r="F44" i="35"/>
  <c r="F48" i="35"/>
  <c r="F53" i="35"/>
  <c r="F114" i="35"/>
  <c r="E29" i="41"/>
  <c r="E28" i="41" s="1"/>
  <c r="F104" i="35"/>
  <c r="F117" i="35"/>
  <c r="F126" i="35"/>
  <c r="F139" i="35"/>
  <c r="F153" i="35"/>
  <c r="F168" i="35"/>
  <c r="D41" i="41"/>
  <c r="D62" i="41" s="1"/>
  <c r="D60" i="41" s="1"/>
  <c r="F50" i="41"/>
  <c r="F48" i="41" s="1"/>
  <c r="F39" i="41"/>
  <c r="F43" i="41" s="1"/>
  <c r="H163" i="35"/>
  <c r="F30" i="41"/>
  <c r="F28" i="41" s="1"/>
  <c r="F113" i="35"/>
  <c r="F135" i="35"/>
  <c r="F148" i="35"/>
  <c r="F172" i="35"/>
  <c r="F19" i="35"/>
  <c r="F28" i="35"/>
  <c r="F37" i="35"/>
  <c r="F46" i="35"/>
  <c r="F55" i="35"/>
  <c r="F64" i="35"/>
  <c r="F73" i="35"/>
  <c r="F83" i="35"/>
  <c r="F109" i="35"/>
  <c r="F118" i="35"/>
  <c r="F123" i="35"/>
  <c r="F127" i="35"/>
  <c r="F132" i="35"/>
  <c r="F136" i="35"/>
  <c r="F145" i="35"/>
  <c r="F149" i="35"/>
  <c r="F154" i="35"/>
  <c r="F159" i="35"/>
  <c r="F164" i="35"/>
  <c r="F169" i="35"/>
  <c r="F173" i="35"/>
  <c r="F106" i="35"/>
  <c r="F110" i="35"/>
  <c r="F115" i="35"/>
  <c r="F119" i="35"/>
  <c r="F124" i="35"/>
  <c r="F128" i="35"/>
  <c r="F133" i="35"/>
  <c r="F137" i="35"/>
  <c r="F142" i="35"/>
  <c r="F146" i="35"/>
  <c r="F150" i="35"/>
  <c r="F156" i="35"/>
  <c r="F160" i="35"/>
  <c r="F165" i="35"/>
  <c r="F170" i="35"/>
  <c r="F174" i="35"/>
  <c r="F18" i="35"/>
  <c r="F23" i="35"/>
  <c r="F31" i="35"/>
  <c r="F36" i="35"/>
  <c r="F40" i="35"/>
  <c r="F49" i="35"/>
  <c r="F54" i="35"/>
  <c r="F58" i="35"/>
  <c r="F68" i="35"/>
  <c r="F72" i="35"/>
  <c r="F77" i="35"/>
  <c r="E111" i="35"/>
  <c r="E141" i="35"/>
  <c r="E151" i="35"/>
  <c r="E155" i="35"/>
  <c r="H111" i="35"/>
  <c r="H131" i="35"/>
  <c r="H141" i="35"/>
  <c r="H151" i="35"/>
  <c r="H155" i="35"/>
  <c r="H13" i="29"/>
  <c r="F27" i="35"/>
  <c r="F45" i="35"/>
  <c r="F63" i="35"/>
  <c r="F82" i="35"/>
  <c r="H22" i="35"/>
  <c r="H32" i="35"/>
  <c r="H42" i="35"/>
  <c r="H52" i="35"/>
  <c r="H66" i="35"/>
  <c r="H74" i="35"/>
  <c r="F57" i="35"/>
  <c r="F61" i="35"/>
  <c r="F67" i="35"/>
  <c r="F71" i="35"/>
  <c r="F76" i="35"/>
  <c r="F81" i="35"/>
  <c r="F85" i="35"/>
  <c r="F107" i="35"/>
  <c r="F112" i="35"/>
  <c r="F116" i="35"/>
  <c r="F120" i="35"/>
  <c r="F125" i="35"/>
  <c r="F129" i="35"/>
  <c r="F134" i="35"/>
  <c r="F138" i="35"/>
  <c r="F143" i="35"/>
  <c r="F147" i="35"/>
  <c r="F152" i="35"/>
  <c r="F157" i="35"/>
  <c r="F161" i="35"/>
  <c r="F166" i="35"/>
  <c r="F171" i="35"/>
  <c r="F15" i="35"/>
  <c r="F24" i="35"/>
  <c r="E32" i="35"/>
  <c r="F41" i="35"/>
  <c r="F50" i="35"/>
  <c r="E52" i="35"/>
  <c r="F59" i="35"/>
  <c r="F69" i="35"/>
  <c r="E78" i="35"/>
  <c r="F14" i="39"/>
  <c r="I14" i="39" s="1"/>
  <c r="F16" i="39"/>
  <c r="I16" i="39" s="1"/>
  <c r="F18" i="39"/>
  <c r="I18" i="39" s="1"/>
  <c r="F22" i="39"/>
  <c r="I22" i="39" s="1"/>
  <c r="F24" i="39"/>
  <c r="I24" i="39" s="1"/>
  <c r="F25" i="39"/>
  <c r="I25" i="39" s="1"/>
  <c r="F26" i="39"/>
  <c r="I26" i="39" s="1"/>
  <c r="F28" i="39"/>
  <c r="I28" i="39" s="1"/>
  <c r="F29" i="39"/>
  <c r="I29" i="39" s="1"/>
  <c r="F32" i="39"/>
  <c r="I32" i="39" s="1"/>
  <c r="F34" i="39"/>
  <c r="I34" i="39" s="1"/>
  <c r="F36" i="39"/>
  <c r="I36" i="39" s="1"/>
  <c r="F38" i="39"/>
  <c r="I38" i="39" s="1"/>
  <c r="F42" i="39"/>
  <c r="I42" i="39" s="1"/>
  <c r="F43" i="39"/>
  <c r="I43" i="39" s="1"/>
  <c r="F44" i="39"/>
  <c r="I44" i="39" s="1"/>
  <c r="F46" i="39"/>
  <c r="F47" i="39"/>
  <c r="I47" i="39" s="1"/>
  <c r="F48" i="39"/>
  <c r="I48" i="39" s="1"/>
  <c r="F52" i="39"/>
  <c r="I52" i="39" s="1"/>
  <c r="F54" i="39"/>
  <c r="I54" i="39" s="1"/>
  <c r="F56" i="39"/>
  <c r="I56" i="39" s="1"/>
  <c r="F58" i="39"/>
  <c r="I58" i="39" s="1"/>
  <c r="F62" i="39"/>
  <c r="I62" i="39" s="1"/>
  <c r="F66" i="39"/>
  <c r="I66" i="39" s="1"/>
  <c r="F68" i="39"/>
  <c r="I68" i="39" s="1"/>
  <c r="F69" i="39"/>
  <c r="I69" i="39" s="1"/>
  <c r="F70" i="39"/>
  <c r="I70" i="39" s="1"/>
  <c r="F74" i="39"/>
  <c r="F78" i="39"/>
  <c r="I78" i="39" s="1"/>
  <c r="F80" i="39"/>
  <c r="I80" i="39" s="1"/>
  <c r="F82" i="39"/>
  <c r="I82" i="39" s="1"/>
  <c r="E74" i="35"/>
  <c r="F33" i="35"/>
  <c r="F79" i="35"/>
  <c r="E42" i="35"/>
  <c r="E103" i="35"/>
  <c r="H103" i="35"/>
  <c r="H121" i="35"/>
  <c r="H167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5" i="35"/>
  <c r="F80" i="35"/>
  <c r="F84" i="35"/>
  <c r="I74" i="39"/>
  <c r="E121" i="35"/>
  <c r="H62" i="35"/>
  <c r="E22" i="35"/>
  <c r="E62" i="35"/>
  <c r="E66" i="35"/>
  <c r="E131" i="35"/>
  <c r="E163" i="35"/>
  <c r="H78" i="35"/>
  <c r="D66" i="35"/>
  <c r="D52" i="35"/>
  <c r="D76" i="39"/>
  <c r="F76" i="39" s="1"/>
  <c r="I76" i="39" s="1"/>
  <c r="F77" i="39"/>
  <c r="I77" i="39" s="1"/>
  <c r="D72" i="39"/>
  <c r="F72" i="39" s="1"/>
  <c r="I72" i="39" s="1"/>
  <c r="F73" i="39"/>
  <c r="I73" i="39" s="1"/>
  <c r="H50" i="39"/>
  <c r="E30" i="39"/>
  <c r="D20" i="39"/>
  <c r="F21" i="39"/>
  <c r="I21" i="39" s="1"/>
  <c r="E12" i="39"/>
  <c r="F79" i="39"/>
  <c r="I79" i="39" s="1"/>
  <c r="H76" i="39"/>
  <c r="F75" i="39"/>
  <c r="I75" i="39" s="1"/>
  <c r="F71" i="39"/>
  <c r="I71" i="39" s="1"/>
  <c r="F57" i="39"/>
  <c r="I57" i="39" s="1"/>
  <c r="F53" i="39"/>
  <c r="I53" i="39" s="1"/>
  <c r="E40" i="39"/>
  <c r="F39" i="39"/>
  <c r="I39" i="39" s="1"/>
  <c r="F35" i="39"/>
  <c r="I35" i="39" s="1"/>
  <c r="D30" i="39"/>
  <c r="F31" i="39"/>
  <c r="I31" i="39" s="1"/>
  <c r="H20" i="39"/>
  <c r="F17" i="39"/>
  <c r="I17" i="39" s="1"/>
  <c r="D12" i="39"/>
  <c r="F13" i="39"/>
  <c r="I13" i="39" s="1"/>
  <c r="F81" i="39"/>
  <c r="I81" i="39" s="1"/>
  <c r="D64" i="39"/>
  <c r="F64" i="39" s="1"/>
  <c r="I64" i="39" s="1"/>
  <c r="F65" i="39"/>
  <c r="I65" i="39" s="1"/>
  <c r="D60" i="39"/>
  <c r="F60" i="39" s="1"/>
  <c r="I60" i="39" s="1"/>
  <c r="F61" i="39"/>
  <c r="I61" i="39" s="1"/>
  <c r="E50" i="39"/>
  <c r="F49" i="39"/>
  <c r="I49" i="39" s="1"/>
  <c r="F45" i="39"/>
  <c r="I45" i="39" s="1"/>
  <c r="D40" i="39"/>
  <c r="F41" i="39"/>
  <c r="I41" i="39" s="1"/>
  <c r="H30" i="39"/>
  <c r="F27" i="39"/>
  <c r="I27" i="39" s="1"/>
  <c r="F23" i="39"/>
  <c r="I23" i="39" s="1"/>
  <c r="H12" i="39"/>
  <c r="F83" i="39"/>
  <c r="I83" i="39" s="1"/>
  <c r="F67" i="39"/>
  <c r="I67" i="39" s="1"/>
  <c r="H64" i="39"/>
  <c r="F63" i="39"/>
  <c r="I63" i="39" s="1"/>
  <c r="H60" i="39"/>
  <c r="F59" i="39"/>
  <c r="I59" i="39" s="1"/>
  <c r="F55" i="39"/>
  <c r="I55" i="39" s="1"/>
  <c r="D50" i="39"/>
  <c r="F51" i="39"/>
  <c r="I51" i="39" s="1"/>
  <c r="I46" i="39"/>
  <c r="H40" i="39"/>
  <c r="F37" i="39"/>
  <c r="I37" i="39" s="1"/>
  <c r="F33" i="39"/>
  <c r="I33" i="39" s="1"/>
  <c r="E20" i="39"/>
  <c r="F19" i="39"/>
  <c r="I19" i="39" s="1"/>
  <c r="F15" i="39"/>
  <c r="I15" i="39" s="1"/>
  <c r="E16" i="40" l="1"/>
  <c r="E15" i="40" s="1"/>
  <c r="I15" i="44"/>
  <c r="H102" i="35"/>
  <c r="F17" i="41" s="1"/>
  <c r="F50" i="39"/>
  <c r="I50" i="39" s="1"/>
  <c r="E102" i="35"/>
  <c r="F30" i="39"/>
  <c r="I30" i="39" s="1"/>
  <c r="F40" i="39"/>
  <c r="I40" i="39" s="1"/>
  <c r="E84" i="39"/>
  <c r="G15" i="44" s="1"/>
  <c r="H84" i="39"/>
  <c r="D84" i="39"/>
  <c r="F12" i="39"/>
  <c r="F20" i="39"/>
  <c r="I20" i="39" s="1"/>
  <c r="F16" i="40" l="1"/>
  <c r="F15" i="40" s="1"/>
  <c r="J15" i="44"/>
  <c r="D16" i="40"/>
  <c r="D15" i="40" s="1"/>
  <c r="F15" i="44"/>
  <c r="F64" i="41"/>
  <c r="I12" i="39"/>
  <c r="I84" i="39" s="1"/>
  <c r="K15" i="44" s="1"/>
  <c r="F84" i="39"/>
  <c r="H15" i="44" s="1"/>
  <c r="E77" i="37" l="1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 s="1"/>
  <c r="D76" i="37"/>
  <c r="F76" i="37" s="1"/>
  <c r="D75" i="37"/>
  <c r="D74" i="37"/>
  <c r="D72" i="37"/>
  <c r="F72" i="37" s="1"/>
  <c r="D71" i="37"/>
  <c r="F71" i="37" s="1"/>
  <c r="D70" i="37"/>
  <c r="D69" i="37"/>
  <c r="D68" i="37"/>
  <c r="F68" i="37" s="1"/>
  <c r="D67" i="37"/>
  <c r="F67" i="37" s="1"/>
  <c r="D66" i="37"/>
  <c r="D65" i="37"/>
  <c r="D64" i="37"/>
  <c r="F64" i="37" s="1"/>
  <c r="D62" i="37"/>
  <c r="F62" i="37" s="1"/>
  <c r="D61" i="37"/>
  <c r="D60" i="37"/>
  <c r="D59" i="37"/>
  <c r="F59" i="37" s="1"/>
  <c r="D58" i="37"/>
  <c r="F58" i="37" s="1"/>
  <c r="D57" i="37"/>
  <c r="D56" i="37"/>
  <c r="D54" i="37"/>
  <c r="F54" i="37" s="1"/>
  <c r="D53" i="37"/>
  <c r="F53" i="37" s="1"/>
  <c r="D52" i="37"/>
  <c r="D51" i="37"/>
  <c r="D50" i="37"/>
  <c r="F50" i="37" s="1"/>
  <c r="D49" i="37"/>
  <c r="F49" i="37" s="1"/>
  <c r="D48" i="37"/>
  <c r="D47" i="37"/>
  <c r="D44" i="37"/>
  <c r="F44" i="37" s="1"/>
  <c r="D43" i="37"/>
  <c r="F43" i="37" s="1"/>
  <c r="D42" i="37"/>
  <c r="D41" i="37"/>
  <c r="D39" i="37"/>
  <c r="F39" i="37" s="1"/>
  <c r="D38" i="37"/>
  <c r="F38" i="37" s="1"/>
  <c r="D37" i="37"/>
  <c r="D36" i="37"/>
  <c r="D35" i="37"/>
  <c r="F35" i="37" s="1"/>
  <c r="D34" i="37"/>
  <c r="F34" i="37" s="1"/>
  <c r="D33" i="37"/>
  <c r="D32" i="37"/>
  <c r="D31" i="37"/>
  <c r="F31" i="37" s="1"/>
  <c r="D29" i="37"/>
  <c r="F29" i="37" s="1"/>
  <c r="D28" i="37"/>
  <c r="D27" i="37"/>
  <c r="D26" i="37"/>
  <c r="F26" i="37" s="1"/>
  <c r="D25" i="37"/>
  <c r="F25" i="37" s="1"/>
  <c r="D24" i="37"/>
  <c r="D23" i="37"/>
  <c r="D21" i="37"/>
  <c r="F21" i="37" s="1"/>
  <c r="D20" i="37"/>
  <c r="F20" i="37" s="1"/>
  <c r="D19" i="37"/>
  <c r="D18" i="37"/>
  <c r="D17" i="37"/>
  <c r="F17" i="37" s="1"/>
  <c r="D16" i="37"/>
  <c r="F16" i="37" s="1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D13" i="22"/>
  <c r="F13" i="22" s="1"/>
  <c r="G13" i="22"/>
  <c r="H13" i="22"/>
  <c r="F15" i="37" l="1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F23" i="37"/>
  <c r="F56" i="37"/>
  <c r="F74" i="37"/>
  <c r="E30" i="37"/>
  <c r="E46" i="37"/>
  <c r="E63" i="37"/>
  <c r="I13" i="22"/>
  <c r="D30" i="37"/>
  <c r="E13" i="25"/>
  <c r="E22" i="25"/>
  <c r="E30" i="25"/>
  <c r="E40" i="25"/>
  <c r="I14" i="25"/>
  <c r="G40" i="25"/>
  <c r="G30" i="25"/>
  <c r="H22" i="25"/>
  <c r="H30" i="25"/>
  <c r="H40" i="25"/>
  <c r="G22" i="25"/>
  <c r="G13" i="25"/>
  <c r="C97" i="35"/>
  <c r="C8" i="35"/>
  <c r="C8" i="36"/>
  <c r="C8" i="37"/>
  <c r="D8" i="38"/>
  <c r="E45" i="37" l="1"/>
  <c r="D15" i="34"/>
  <c r="H56" i="34" l="1"/>
  <c r="I56" i="34" s="1"/>
  <c r="H68" i="34"/>
  <c r="H67" i="34"/>
  <c r="H66" i="34"/>
  <c r="H65" i="34"/>
  <c r="H64" i="34" s="1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2" i="34"/>
  <c r="H40" i="34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I19" i="34" s="1"/>
  <c r="H18" i="34"/>
  <c r="H17" i="34"/>
  <c r="H16" i="34"/>
  <c r="H15" i="34"/>
  <c r="I15" i="34" s="1"/>
  <c r="H14" i="34"/>
  <c r="G73" i="34"/>
  <c r="G72" i="34" s="1"/>
  <c r="E14" i="41" s="1"/>
  <c r="G56" i="34"/>
  <c r="G51" i="34"/>
  <c r="G47" i="34"/>
  <c r="G68" i="34"/>
  <c r="G67" i="34"/>
  <c r="G66" i="34"/>
  <c r="G65" i="34"/>
  <c r="G64" i="34" s="1"/>
  <c r="G63" i="34"/>
  <c r="G62" i="34"/>
  <c r="G61" i="34"/>
  <c r="G60" i="34"/>
  <c r="G58" i="34"/>
  <c r="G57" i="34"/>
  <c r="G55" i="34"/>
  <c r="G54" i="34"/>
  <c r="G53" i="34"/>
  <c r="G52" i="34"/>
  <c r="G45" i="34"/>
  <c r="G44" i="34"/>
  <c r="G43" i="34" s="1"/>
  <c r="G42" i="34"/>
  <c r="G41" i="34" s="1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3" i="34"/>
  <c r="H72" i="34"/>
  <c r="F14" i="41" s="1"/>
  <c r="G80" i="34"/>
  <c r="C7" i="34"/>
  <c r="E33" i="34"/>
  <c r="E31" i="34"/>
  <c r="E80" i="34"/>
  <c r="E67" i="34"/>
  <c r="F80" i="34"/>
  <c r="E73" i="34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0" i="34" s="1"/>
  <c r="E51" i="34"/>
  <c r="E47" i="34"/>
  <c r="E45" i="34"/>
  <c r="E44" i="34"/>
  <c r="E43" i="34" s="1"/>
  <c r="E42" i="34"/>
  <c r="E41" i="34" s="1"/>
  <c r="E40" i="34"/>
  <c r="E39" i="34"/>
  <c r="F39" i="34" s="1"/>
  <c r="E38" i="34"/>
  <c r="E37" i="34"/>
  <c r="E36" i="34"/>
  <c r="E35" i="34"/>
  <c r="F35" i="34" s="1"/>
  <c r="E32" i="34"/>
  <c r="E30" i="34"/>
  <c r="E29" i="34"/>
  <c r="E28" i="34"/>
  <c r="E27" i="34"/>
  <c r="E26" i="34"/>
  <c r="E25" i="34"/>
  <c r="E24" i="34"/>
  <c r="E23" i="34"/>
  <c r="E20" i="34"/>
  <c r="E19" i="34"/>
  <c r="F19" i="34" s="1"/>
  <c r="E18" i="34"/>
  <c r="E17" i="34"/>
  <c r="E16" i="34"/>
  <c r="E15" i="34"/>
  <c r="F15" i="34" s="1"/>
  <c r="E14" i="34"/>
  <c r="I80" i="34"/>
  <c r="D80" i="34"/>
  <c r="D73" i="34"/>
  <c r="D20" i="34"/>
  <c r="F20" i="34" s="1"/>
  <c r="D68" i="34"/>
  <c r="F68" i="34" s="1"/>
  <c r="D67" i="34"/>
  <c r="D66" i="34"/>
  <c r="D65" i="34"/>
  <c r="D63" i="34"/>
  <c r="F63" i="34" s="1"/>
  <c r="D62" i="34"/>
  <c r="D61" i="34"/>
  <c r="D60" i="34"/>
  <c r="F60" i="34" s="1"/>
  <c r="D58" i="34"/>
  <c r="F58" i="34" s="1"/>
  <c r="D56" i="34"/>
  <c r="D57" i="34"/>
  <c r="D55" i="34"/>
  <c r="F55" i="34" s="1"/>
  <c r="D54" i="34"/>
  <c r="F54" i="34" s="1"/>
  <c r="D53" i="34"/>
  <c r="D52" i="34"/>
  <c r="D51" i="34"/>
  <c r="F51" i="34" s="1"/>
  <c r="D47" i="34"/>
  <c r="F47" i="34" s="1"/>
  <c r="D45" i="34"/>
  <c r="D44" i="34"/>
  <c r="D42" i="34"/>
  <c r="F42" i="34" s="1"/>
  <c r="D40" i="34"/>
  <c r="D39" i="34"/>
  <c r="D38" i="34"/>
  <c r="D37" i="34"/>
  <c r="F37" i="34" s="1"/>
  <c r="D36" i="34"/>
  <c r="D35" i="34"/>
  <c r="D33" i="34"/>
  <c r="D32" i="34"/>
  <c r="D31" i="34"/>
  <c r="D30" i="34"/>
  <c r="F30" i="34" s="1"/>
  <c r="D29" i="34"/>
  <c r="F29" i="34" s="1"/>
  <c r="D28" i="34"/>
  <c r="F28" i="34" s="1"/>
  <c r="D27" i="34"/>
  <c r="D26" i="34"/>
  <c r="F26" i="34" s="1"/>
  <c r="D25" i="34"/>
  <c r="F25" i="34" s="1"/>
  <c r="D24" i="34"/>
  <c r="F24" i="34" s="1"/>
  <c r="D23" i="34"/>
  <c r="D19" i="34"/>
  <c r="D18" i="34"/>
  <c r="D17" i="34"/>
  <c r="D16" i="34"/>
  <c r="F16" i="34" s="1"/>
  <c r="D14" i="34"/>
  <c r="I26" i="21"/>
  <c r="I22" i="21"/>
  <c r="I21" i="21"/>
  <c r="H19" i="21"/>
  <c r="H18" i="21"/>
  <c r="H17" i="21" s="1"/>
  <c r="H16" i="21"/>
  <c r="H15" i="21"/>
  <c r="H14" i="21"/>
  <c r="I18" i="21"/>
  <c r="H26" i="21"/>
  <c r="H22" i="21"/>
  <c r="H21" i="21"/>
  <c r="H25" i="21"/>
  <c r="H24" i="21"/>
  <c r="H23" i="21"/>
  <c r="H13" i="21"/>
  <c r="I25" i="21"/>
  <c r="I24" i="21"/>
  <c r="I23" i="21"/>
  <c r="I19" i="21"/>
  <c r="I16" i="21"/>
  <c r="I15" i="21"/>
  <c r="I14" i="21"/>
  <c r="I13" i="21"/>
  <c r="G47" i="21"/>
  <c r="F26" i="21"/>
  <c r="F25" i="21"/>
  <c r="F24" i="21"/>
  <c r="F23" i="21"/>
  <c r="F22" i="21"/>
  <c r="F21" i="21"/>
  <c r="F19" i="21"/>
  <c r="F18" i="21"/>
  <c r="F16" i="21"/>
  <c r="F15" i="21"/>
  <c r="F14" i="21"/>
  <c r="F13" i="21"/>
  <c r="I14" i="34" l="1"/>
  <c r="I40" i="34"/>
  <c r="I32" i="34"/>
  <c r="H43" i="34"/>
  <c r="I53" i="34"/>
  <c r="I58" i="34"/>
  <c r="I68" i="34"/>
  <c r="F23" i="34"/>
  <c r="F21" i="34" s="1"/>
  <c r="F27" i="34"/>
  <c r="F31" i="34"/>
  <c r="I23" i="34"/>
  <c r="I27" i="34"/>
  <c r="I31" i="34"/>
  <c r="I36" i="34"/>
  <c r="I63" i="34"/>
  <c r="F32" i="34"/>
  <c r="I47" i="34"/>
  <c r="I54" i="34"/>
  <c r="F33" i="34"/>
  <c r="F38" i="34"/>
  <c r="F66" i="34"/>
  <c r="F36" i="34"/>
  <c r="F34" i="34" s="1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59" i="34" s="1"/>
  <c r="F73" i="34"/>
  <c r="D72" i="34"/>
  <c r="D14" i="41" s="1"/>
  <c r="E34" i="34"/>
  <c r="I24" i="34"/>
  <c r="F14" i="34"/>
  <c r="F53" i="34"/>
  <c r="F56" i="34"/>
  <c r="F67" i="34"/>
  <c r="E59" i="34"/>
  <c r="I73" i="34"/>
  <c r="I72" i="34" s="1"/>
  <c r="I37" i="34"/>
  <c r="H41" i="34"/>
  <c r="I42" i="34"/>
  <c r="I60" i="34"/>
  <c r="H59" i="34"/>
  <c r="I65" i="34"/>
  <c r="I28" i="34"/>
  <c r="I52" i="34"/>
  <c r="H21" i="34"/>
  <c r="I35" i="34"/>
  <c r="F45" i="34"/>
  <c r="I26" i="34"/>
  <c r="D21" i="34"/>
  <c r="D50" i="34"/>
  <c r="H50" i="34"/>
  <c r="G34" i="34"/>
  <c r="G59" i="34"/>
  <c r="E21" i="34"/>
  <c r="I20" i="21"/>
  <c r="E25" i="21"/>
  <c r="E24" i="21"/>
  <c r="G24" i="21" s="1"/>
  <c r="E23" i="21"/>
  <c r="G23" i="21" s="1"/>
  <c r="E19" i="21"/>
  <c r="E41" i="21" s="1"/>
  <c r="E21" i="21"/>
  <c r="G21" i="21" s="1"/>
  <c r="E18" i="21"/>
  <c r="G18" i="21" s="1"/>
  <c r="E16" i="21"/>
  <c r="G16" i="21" s="1"/>
  <c r="E15" i="21"/>
  <c r="G15" i="21" s="1"/>
  <c r="E14" i="21"/>
  <c r="E13" i="21"/>
  <c r="E50" i="21"/>
  <c r="E40" i="21"/>
  <c r="E26" i="21"/>
  <c r="G26" i="21" s="1"/>
  <c r="E22" i="21"/>
  <c r="G22" i="21" s="1"/>
  <c r="F64" i="34" l="1"/>
  <c r="I34" i="34"/>
  <c r="I64" i="34"/>
  <c r="I21" i="34"/>
  <c r="G46" i="34"/>
  <c r="E12" i="41" s="1"/>
  <c r="I50" i="34"/>
  <c r="I59" i="34"/>
  <c r="E46" i="34"/>
  <c r="H70" i="34"/>
  <c r="F13" i="41" s="1"/>
  <c r="F59" i="41" s="1"/>
  <c r="F68" i="41" s="1"/>
  <c r="F69" i="41" s="1"/>
  <c r="E70" i="34"/>
  <c r="F50" i="34"/>
  <c r="E36" i="21"/>
  <c r="G13" i="21"/>
  <c r="J13" i="21"/>
  <c r="E49" i="21"/>
  <c r="G14" i="21"/>
  <c r="G25" i="21"/>
  <c r="F72" i="34"/>
  <c r="E72" i="34"/>
  <c r="H46" i="34"/>
  <c r="F12" i="41" s="1"/>
  <c r="G70" i="34"/>
  <c r="E13" i="41" s="1"/>
  <c r="E59" i="41" s="1"/>
  <c r="E39" i="21"/>
  <c r="F17" i="21"/>
  <c r="I17" i="21"/>
  <c r="F20" i="21"/>
  <c r="F49" i="38"/>
  <c r="F48" i="38"/>
  <c r="C49" i="38"/>
  <c r="C48" i="38"/>
  <c r="F89" i="37"/>
  <c r="F88" i="37"/>
  <c r="C89" i="37"/>
  <c r="C88" i="37"/>
  <c r="E48" i="36"/>
  <c r="E47" i="36"/>
  <c r="B48" i="36"/>
  <c r="B47" i="36"/>
  <c r="F188" i="35"/>
  <c r="F187" i="35"/>
  <c r="C188" i="35"/>
  <c r="C187" i="35"/>
  <c r="G91" i="34"/>
  <c r="G90" i="34"/>
  <c r="C91" i="34"/>
  <c r="C90" i="34"/>
  <c r="F38" i="26"/>
  <c r="F37" i="26"/>
  <c r="C38" i="26"/>
  <c r="C37" i="26"/>
  <c r="G56" i="29"/>
  <c r="G55" i="29"/>
  <c r="D56" i="29"/>
  <c r="D55" i="29"/>
  <c r="F55" i="25"/>
  <c r="F54" i="25"/>
  <c r="C55" i="25"/>
  <c r="C54" i="25"/>
  <c r="F34" i="23"/>
  <c r="F33" i="23"/>
  <c r="C34" i="23"/>
  <c r="C33" i="23"/>
  <c r="F87" i="22"/>
  <c r="F86" i="22"/>
  <c r="C87" i="22"/>
  <c r="C86" i="22"/>
  <c r="G65" i="21"/>
  <c r="G64" i="21"/>
  <c r="D65" i="21"/>
  <c r="D64" i="21"/>
  <c r="D131" i="35"/>
  <c r="F131" i="35"/>
  <c r="G131" i="35"/>
  <c r="F47" i="41" l="1"/>
  <c r="F11" i="41"/>
  <c r="E47" i="41"/>
  <c r="E11" i="41"/>
  <c r="E75" i="34"/>
  <c r="G7" i="44" s="1"/>
  <c r="F70" i="34"/>
  <c r="G75" i="34"/>
  <c r="I7" i="44" s="1"/>
  <c r="H75" i="34"/>
  <c r="J7" i="44" s="1"/>
  <c r="I131" i="35"/>
  <c r="H40" i="37" l="1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 s="1"/>
  <c r="F29" i="38"/>
  <c r="E29" i="38"/>
  <c r="D29" i="38"/>
  <c r="I28" i="38"/>
  <c r="I27" i="38"/>
  <c r="I24" i="38"/>
  <c r="I23" i="38"/>
  <c r="I22" i="38"/>
  <c r="H21" i="38"/>
  <c r="G21" i="38"/>
  <c r="F21" i="38"/>
  <c r="I21" i="38" s="1"/>
  <c r="E21" i="38"/>
  <c r="D21" i="38"/>
  <c r="I20" i="38"/>
  <c r="I19" i="38"/>
  <c r="I18" i="38"/>
  <c r="H17" i="38"/>
  <c r="H14" i="38" s="1"/>
  <c r="G17" i="38"/>
  <c r="F17" i="38"/>
  <c r="E17" i="38"/>
  <c r="D17" i="38"/>
  <c r="D14" i="38" s="1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H33" i="36"/>
  <c r="H32" i="36"/>
  <c r="H31" i="36"/>
  <c r="H30" i="36"/>
  <c r="H29" i="36"/>
  <c r="H28" i="36"/>
  <c r="H27" i="36"/>
  <c r="H26" i="36"/>
  <c r="G24" i="36"/>
  <c r="F24" i="36"/>
  <c r="E24" i="36"/>
  <c r="D24" i="36"/>
  <c r="C24" i="36"/>
  <c r="H22" i="36"/>
  <c r="H21" i="36"/>
  <c r="H20" i="36"/>
  <c r="H19" i="36"/>
  <c r="H18" i="36"/>
  <c r="H17" i="36"/>
  <c r="H16" i="36"/>
  <c r="H15" i="36"/>
  <c r="G13" i="36"/>
  <c r="F13" i="36"/>
  <c r="E13" i="36"/>
  <c r="D13" i="36"/>
  <c r="C13" i="36"/>
  <c r="I174" i="35"/>
  <c r="I173" i="35"/>
  <c r="I172" i="35"/>
  <c r="I171" i="35"/>
  <c r="I170" i="35"/>
  <c r="I169" i="35"/>
  <c r="I168" i="35"/>
  <c r="G167" i="35"/>
  <c r="F167" i="35"/>
  <c r="D167" i="35"/>
  <c r="I166" i="35"/>
  <c r="I165" i="35"/>
  <c r="I164" i="35"/>
  <c r="G163" i="35"/>
  <c r="F163" i="35"/>
  <c r="D163" i="35"/>
  <c r="I162" i="35"/>
  <c r="I161" i="35"/>
  <c r="I160" i="35"/>
  <c r="I159" i="35"/>
  <c r="I158" i="35"/>
  <c r="I157" i="35"/>
  <c r="I156" i="35"/>
  <c r="G155" i="35"/>
  <c r="F155" i="35"/>
  <c r="D155" i="35"/>
  <c r="I154" i="35"/>
  <c r="I153" i="35"/>
  <c r="I152" i="35"/>
  <c r="G151" i="35"/>
  <c r="F151" i="35"/>
  <c r="D151" i="35"/>
  <c r="I150" i="35"/>
  <c r="I149" i="35"/>
  <c r="I148" i="35"/>
  <c r="I147" i="35"/>
  <c r="I146" i="35"/>
  <c r="I145" i="35"/>
  <c r="I144" i="35"/>
  <c r="I143" i="35"/>
  <c r="I142" i="35"/>
  <c r="G141" i="35"/>
  <c r="F141" i="35"/>
  <c r="D141" i="35"/>
  <c r="I140" i="35"/>
  <c r="I139" i="35"/>
  <c r="I138" i="35"/>
  <c r="I137" i="35"/>
  <c r="I136" i="35"/>
  <c r="I135" i="35"/>
  <c r="I134" i="35"/>
  <c r="I133" i="35"/>
  <c r="I132" i="35"/>
  <c r="I130" i="35"/>
  <c r="I129" i="35"/>
  <c r="I128" i="35"/>
  <c r="I127" i="35"/>
  <c r="I126" i="35"/>
  <c r="I125" i="35"/>
  <c r="I124" i="35"/>
  <c r="I123" i="35"/>
  <c r="I122" i="35"/>
  <c r="G121" i="35"/>
  <c r="F121" i="35"/>
  <c r="D121" i="35"/>
  <c r="I120" i="35"/>
  <c r="I119" i="35"/>
  <c r="I118" i="35"/>
  <c r="I117" i="35"/>
  <c r="I116" i="35"/>
  <c r="I115" i="35"/>
  <c r="I114" i="35"/>
  <c r="I113" i="35"/>
  <c r="I112" i="35"/>
  <c r="G111" i="35"/>
  <c r="F111" i="35"/>
  <c r="D111" i="35"/>
  <c r="I110" i="35"/>
  <c r="I109" i="35"/>
  <c r="I108" i="35"/>
  <c r="I107" i="35"/>
  <c r="I106" i="35"/>
  <c r="I105" i="35"/>
  <c r="I104" i="35"/>
  <c r="G103" i="35"/>
  <c r="F103" i="35"/>
  <c r="D103" i="35"/>
  <c r="I85" i="35"/>
  <c r="I84" i="35"/>
  <c r="I83" i="35"/>
  <c r="I82" i="35"/>
  <c r="I81" i="35"/>
  <c r="I80" i="35"/>
  <c r="I79" i="35"/>
  <c r="G78" i="35"/>
  <c r="F78" i="35"/>
  <c r="D78" i="35"/>
  <c r="I77" i="35"/>
  <c r="I76" i="35"/>
  <c r="I75" i="35"/>
  <c r="G74" i="35"/>
  <c r="F74" i="35"/>
  <c r="D74" i="35"/>
  <c r="I73" i="35"/>
  <c r="I72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41" i="34"/>
  <c r="D34" i="34"/>
  <c r="I42" i="35" l="1"/>
  <c r="I22" i="35"/>
  <c r="D70" i="34"/>
  <c r="F41" i="34"/>
  <c r="I41" i="34"/>
  <c r="F43" i="34"/>
  <c r="I43" i="34"/>
  <c r="H45" i="37"/>
  <c r="D45" i="37"/>
  <c r="D46" i="34"/>
  <c r="D12" i="41" s="1"/>
  <c r="I73" i="37"/>
  <c r="I17" i="38"/>
  <c r="H13" i="36"/>
  <c r="D12" i="37"/>
  <c r="D78" i="37" s="1"/>
  <c r="F18" i="44" s="1"/>
  <c r="I55" i="37"/>
  <c r="I29" i="38"/>
  <c r="I33" i="38"/>
  <c r="C35" i="36"/>
  <c r="G35" i="36"/>
  <c r="F35" i="36"/>
  <c r="H24" i="36"/>
  <c r="F14" i="38"/>
  <c r="G14" i="38"/>
  <c r="G38" i="38" s="1"/>
  <c r="F26" i="38"/>
  <c r="I26" i="38" s="1"/>
  <c r="D26" i="38"/>
  <c r="D38" i="38" s="1"/>
  <c r="H26" i="38"/>
  <c r="H38" i="38" s="1"/>
  <c r="E26" i="38"/>
  <c r="D35" i="36"/>
  <c r="E35" i="36"/>
  <c r="I63" i="37"/>
  <c r="G12" i="37"/>
  <c r="I22" i="37"/>
  <c r="I30" i="37"/>
  <c r="I46" i="37"/>
  <c r="H12" i="37"/>
  <c r="G45" i="37"/>
  <c r="I32" i="35"/>
  <c r="I103" i="35"/>
  <c r="I111" i="35"/>
  <c r="I14" i="35"/>
  <c r="I66" i="35"/>
  <c r="I151" i="35"/>
  <c r="G13" i="35"/>
  <c r="E16" i="41" s="1"/>
  <c r="I74" i="35"/>
  <c r="I163" i="35"/>
  <c r="I141" i="35"/>
  <c r="I167" i="35"/>
  <c r="I62" i="35"/>
  <c r="I155" i="35"/>
  <c r="I52" i="35"/>
  <c r="I121" i="35"/>
  <c r="E13" i="35"/>
  <c r="E176" i="35" s="1"/>
  <c r="G16" i="44" s="1"/>
  <c r="D13" i="35"/>
  <c r="D16" i="41" s="1"/>
  <c r="H13" i="35"/>
  <c r="F102" i="35"/>
  <c r="F13" i="35"/>
  <c r="D102" i="35"/>
  <c r="D17" i="41" s="1"/>
  <c r="D64" i="41" s="1"/>
  <c r="G102" i="35"/>
  <c r="E17" i="41" s="1"/>
  <c r="E64" i="41" s="1"/>
  <c r="E68" i="41" s="1"/>
  <c r="E69" i="41" s="1"/>
  <c r="I78" i="35"/>
  <c r="F45" i="37"/>
  <c r="E12" i="37"/>
  <c r="E78" i="37" s="1"/>
  <c r="G18" i="44" s="1"/>
  <c r="I13" i="37"/>
  <c r="F12" i="37"/>
  <c r="I40" i="37"/>
  <c r="E38" i="38"/>
  <c r="D51" i="41" l="1"/>
  <c r="D15" i="41"/>
  <c r="E51" i="41"/>
  <c r="E54" i="41" s="1"/>
  <c r="E55" i="41" s="1"/>
  <c r="E15" i="41"/>
  <c r="E22" i="41" s="1"/>
  <c r="E23" i="41" s="1"/>
  <c r="E24" i="41" s="1"/>
  <c r="E32" i="41" s="1"/>
  <c r="H176" i="35"/>
  <c r="J16" i="44" s="1"/>
  <c r="F16" i="41"/>
  <c r="I70" i="34"/>
  <c r="D13" i="41"/>
  <c r="D59" i="41" s="1"/>
  <c r="D68" i="41" s="1"/>
  <c r="D69" i="41" s="1"/>
  <c r="D11" i="41"/>
  <c r="D47" i="41"/>
  <c r="D75" i="34"/>
  <c r="G176" i="35"/>
  <c r="I16" i="44" s="1"/>
  <c r="I13" i="35"/>
  <c r="I46" i="34"/>
  <c r="F46" i="34"/>
  <c r="F75" i="34" s="1"/>
  <c r="H7" i="44" s="1"/>
  <c r="I12" i="37"/>
  <c r="I45" i="37"/>
  <c r="I14" i="38"/>
  <c r="G78" i="37"/>
  <c r="I18" i="44" s="1"/>
  <c r="H35" i="36"/>
  <c r="F38" i="38"/>
  <c r="I38" i="38" s="1"/>
  <c r="H78" i="37"/>
  <c r="J18" i="44" s="1"/>
  <c r="D176" i="35"/>
  <c r="F16" i="44" s="1"/>
  <c r="F176" i="35"/>
  <c r="H16" i="44" s="1"/>
  <c r="I102" i="35"/>
  <c r="F78" i="37"/>
  <c r="H18" i="44" s="1"/>
  <c r="D22" i="41" l="1"/>
  <c r="D23" i="41" s="1"/>
  <c r="D24" i="41" s="1"/>
  <c r="D32" i="41" s="1"/>
  <c r="I75" i="34"/>
  <c r="K7" i="44" s="1"/>
  <c r="F7" i="44"/>
  <c r="D54" i="41"/>
  <c r="D55" i="41" s="1"/>
  <c r="F51" i="41"/>
  <c r="F54" i="41" s="1"/>
  <c r="F55" i="41" s="1"/>
  <c r="F15" i="41"/>
  <c r="F22" i="41" s="1"/>
  <c r="F23" i="41" s="1"/>
  <c r="F24" i="41" s="1"/>
  <c r="F32" i="41" s="1"/>
  <c r="I176" i="35"/>
  <c r="K16" i="44" s="1"/>
  <c r="I78" i="37"/>
  <c r="K18" i="44" s="1"/>
  <c r="H21" i="23"/>
  <c r="H19" i="23"/>
  <c r="H17" i="23"/>
  <c r="E21" i="23"/>
  <c r="E19" i="23"/>
  <c r="E17" i="23"/>
  <c r="D21" i="23"/>
  <c r="D19" i="23"/>
  <c r="D17" i="23"/>
  <c r="E13" i="23"/>
  <c r="F17" i="23" l="1"/>
  <c r="I17" i="23" s="1"/>
  <c r="F19" i="23"/>
  <c r="I19" i="23" s="1"/>
  <c r="F21" i="23"/>
  <c r="I21" i="23" s="1"/>
  <c r="I27" i="32"/>
  <c r="I41" i="29" l="1"/>
  <c r="F41" i="29"/>
  <c r="E41" i="29"/>
  <c r="I40" i="29"/>
  <c r="F40" i="29"/>
  <c r="E40" i="29"/>
  <c r="I39" i="29"/>
  <c r="F39" i="29"/>
  <c r="E39" i="29"/>
  <c r="I38" i="29"/>
  <c r="I37" i="29" s="1"/>
  <c r="H37" i="29"/>
  <c r="F38" i="29"/>
  <c r="F37" i="29" s="1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E17" i="26"/>
  <c r="D17" i="26"/>
  <c r="H16" i="26"/>
  <c r="E16" i="26"/>
  <c r="D16" i="26"/>
  <c r="H15" i="26"/>
  <c r="E15" i="26"/>
  <c r="D15" i="26"/>
  <c r="H14" i="26"/>
  <c r="E14" i="26"/>
  <c r="D14" i="26"/>
  <c r="H13" i="26"/>
  <c r="G27" i="26"/>
  <c r="I20" i="44" s="1"/>
  <c r="E13" i="26"/>
  <c r="D13" i="26"/>
  <c r="C7" i="26"/>
  <c r="C7" i="25"/>
  <c r="H15" i="23"/>
  <c r="E15" i="23"/>
  <c r="E23" i="23" s="1"/>
  <c r="G14" i="44" s="1"/>
  <c r="D15" i="23"/>
  <c r="H13" i="23"/>
  <c r="G23" i="23"/>
  <c r="I14" i="44" s="1"/>
  <c r="D13" i="23"/>
  <c r="C7" i="23"/>
  <c r="C75" i="22"/>
  <c r="I75" i="22" s="1"/>
  <c r="C74" i="22"/>
  <c r="G74" i="22" s="1"/>
  <c r="C73" i="22"/>
  <c r="D73" i="22" s="1"/>
  <c r="C72" i="22"/>
  <c r="E72" i="22" s="1"/>
  <c r="C71" i="22"/>
  <c r="C70" i="22"/>
  <c r="C69" i="22"/>
  <c r="C68" i="22"/>
  <c r="E68" i="22" s="1"/>
  <c r="C67" i="22"/>
  <c r="C66" i="22"/>
  <c r="C65" i="22"/>
  <c r="D65" i="22" s="1"/>
  <c r="C64" i="22"/>
  <c r="E64" i="22" s="1"/>
  <c r="C63" i="22"/>
  <c r="G63" i="22" s="1"/>
  <c r="C62" i="22"/>
  <c r="C61" i="22"/>
  <c r="G61" i="22" s="1"/>
  <c r="C60" i="22"/>
  <c r="E60" i="22" s="1"/>
  <c r="C59" i="22"/>
  <c r="C58" i="22"/>
  <c r="H58" i="22" s="1"/>
  <c r="C57" i="22"/>
  <c r="D57" i="22" s="1"/>
  <c r="C56" i="22"/>
  <c r="C55" i="22"/>
  <c r="C54" i="22"/>
  <c r="C53" i="22"/>
  <c r="H53" i="22" s="1"/>
  <c r="C52" i="22"/>
  <c r="C51" i="22"/>
  <c r="C50" i="22"/>
  <c r="H50" i="22" s="1"/>
  <c r="C49" i="22"/>
  <c r="D49" i="22" s="1"/>
  <c r="C48" i="22"/>
  <c r="C47" i="22"/>
  <c r="C46" i="22"/>
  <c r="G46" i="22" s="1"/>
  <c r="C45" i="22"/>
  <c r="C44" i="22"/>
  <c r="G44" i="22" s="1"/>
  <c r="C43" i="22"/>
  <c r="H43" i="22" s="1"/>
  <c r="C42" i="22"/>
  <c r="H42" i="22" s="1"/>
  <c r="C41" i="22"/>
  <c r="G41" i="22" s="1"/>
  <c r="C40" i="22"/>
  <c r="C39" i="22"/>
  <c r="H39" i="22" s="1"/>
  <c r="C38" i="22"/>
  <c r="C37" i="22"/>
  <c r="C36" i="22"/>
  <c r="H36" i="22" s="1"/>
  <c r="C35" i="22"/>
  <c r="C34" i="22"/>
  <c r="C33" i="22"/>
  <c r="G33" i="22" s="1"/>
  <c r="C32" i="22"/>
  <c r="H32" i="22" s="1"/>
  <c r="C31" i="22"/>
  <c r="C30" i="22"/>
  <c r="C29" i="22"/>
  <c r="C28" i="22"/>
  <c r="C27" i="22"/>
  <c r="C26" i="22"/>
  <c r="C25" i="22"/>
  <c r="G25" i="22" s="1"/>
  <c r="C24" i="22"/>
  <c r="G24" i="22" s="1"/>
  <c r="C23" i="22"/>
  <c r="C22" i="22"/>
  <c r="G22" i="22" s="1"/>
  <c r="C21" i="22"/>
  <c r="G17" i="22"/>
  <c r="C7" i="22"/>
  <c r="J51" i="21"/>
  <c r="H54" i="21"/>
  <c r="E31" i="40" s="1"/>
  <c r="E35" i="40" s="1"/>
  <c r="F54" i="21"/>
  <c r="F53" i="21" s="1"/>
  <c r="E54" i="21"/>
  <c r="D31" i="40" s="1"/>
  <c r="D35" i="40" s="1"/>
  <c r="I45" i="21"/>
  <c r="H45" i="21"/>
  <c r="F45" i="21"/>
  <c r="E45" i="21"/>
  <c r="H50" i="21"/>
  <c r="F50" i="21"/>
  <c r="G50" i="21" s="1"/>
  <c r="I44" i="21"/>
  <c r="H44" i="21"/>
  <c r="E44" i="21"/>
  <c r="F43" i="21"/>
  <c r="E43" i="21"/>
  <c r="H41" i="21"/>
  <c r="F41" i="21"/>
  <c r="G41" i="21" s="1"/>
  <c r="H40" i="21"/>
  <c r="F40" i="21"/>
  <c r="G40" i="21" s="1"/>
  <c r="H38" i="21"/>
  <c r="F38" i="21"/>
  <c r="H37" i="21"/>
  <c r="F37" i="21"/>
  <c r="E37" i="21"/>
  <c r="H49" i="21"/>
  <c r="F49" i="21"/>
  <c r="G49" i="21" s="1"/>
  <c r="H36" i="21"/>
  <c r="F36" i="21"/>
  <c r="G36" i="21" s="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J18" i="10"/>
  <c r="I18" i="10"/>
  <c r="H18" i="10"/>
  <c r="G18" i="10"/>
  <c r="F18" i="10"/>
  <c r="E18" i="10"/>
  <c r="D18" i="10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G139" i="7"/>
  <c r="F139" i="7"/>
  <c r="E139" i="7"/>
  <c r="D139" i="7"/>
  <c r="C7" i="7"/>
  <c r="J16" i="6"/>
  <c r="I16" i="6"/>
  <c r="H16" i="6"/>
  <c r="G16" i="6"/>
  <c r="F16" i="6"/>
  <c r="E16" i="6"/>
  <c r="D16" i="6"/>
  <c r="C7" i="6"/>
  <c r="J75" i="5"/>
  <c r="I75" i="5"/>
  <c r="H75" i="5"/>
  <c r="G75" i="5"/>
  <c r="F75" i="5"/>
  <c r="E75" i="5"/>
  <c r="D75" i="5"/>
  <c r="C6" i="5"/>
  <c r="H106" i="4"/>
  <c r="G106" i="4"/>
  <c r="F106" i="4"/>
  <c r="E106" i="4"/>
  <c r="D106" i="4"/>
  <c r="C7" i="4"/>
  <c r="F29" i="29" l="1"/>
  <c r="G43" i="21"/>
  <c r="H27" i="26"/>
  <c r="J20" i="44" s="1"/>
  <c r="F13" i="29"/>
  <c r="I13" i="29"/>
  <c r="I29" i="29"/>
  <c r="F25" i="29"/>
  <c r="H23" i="23"/>
  <c r="J14" i="44" s="1"/>
  <c r="G37" i="21"/>
  <c r="G45" i="21"/>
  <c r="H39" i="21"/>
  <c r="F16" i="25"/>
  <c r="I16" i="25" s="1"/>
  <c r="F27" i="25"/>
  <c r="I27" i="25" s="1"/>
  <c r="F32" i="25"/>
  <c r="I32" i="25" s="1"/>
  <c r="F37" i="25"/>
  <c r="I37" i="25" s="1"/>
  <c r="D23" i="23"/>
  <c r="F14" i="44" s="1"/>
  <c r="J14" i="21"/>
  <c r="J58" i="14"/>
  <c r="I19" i="12"/>
  <c r="F15" i="23"/>
  <c r="I15" i="23" s="1"/>
  <c r="F21" i="25"/>
  <c r="I21" i="25" s="1"/>
  <c r="F26" i="25"/>
  <c r="I26" i="25" s="1"/>
  <c r="F41" i="25"/>
  <c r="I41" i="25" s="1"/>
  <c r="G20" i="29"/>
  <c r="J20" i="29" s="1"/>
  <c r="G21" i="29"/>
  <c r="J21" i="29" s="1"/>
  <c r="G22" i="29"/>
  <c r="J22" i="29" s="1"/>
  <c r="G39" i="29"/>
  <c r="J39" i="29" s="1"/>
  <c r="G40" i="29"/>
  <c r="J40" i="29" s="1"/>
  <c r="G41" i="29"/>
  <c r="J41" i="29" s="1"/>
  <c r="E24" i="22"/>
  <c r="H24" i="22"/>
  <c r="H61" i="22"/>
  <c r="G64" i="22"/>
  <c r="D24" i="22"/>
  <c r="F24" i="22" s="1"/>
  <c r="I24" i="22" s="1"/>
  <c r="J19" i="12"/>
  <c r="E14" i="12"/>
  <c r="J44" i="14"/>
  <c r="J42" i="12"/>
  <c r="I44" i="14"/>
  <c r="F48" i="21"/>
  <c r="E41" i="14"/>
  <c r="I35" i="12"/>
  <c r="I27" i="14"/>
  <c r="I40" i="14" s="1"/>
  <c r="F15" i="26"/>
  <c r="I15" i="26" s="1"/>
  <c r="F17" i="25"/>
  <c r="I17" i="25" s="1"/>
  <c r="F18" i="25"/>
  <c r="I18" i="25" s="1"/>
  <c r="F25" i="25"/>
  <c r="I25" i="25" s="1"/>
  <c r="F28" i="25"/>
  <c r="I28" i="25" s="1"/>
  <c r="F33" i="25"/>
  <c r="I33" i="25" s="1"/>
  <c r="F38" i="25"/>
  <c r="I38" i="25" s="1"/>
  <c r="H22" i="22"/>
  <c r="E63" i="22"/>
  <c r="E62" i="22"/>
  <c r="F62" i="22" s="1"/>
  <c r="I62" i="22" s="1"/>
  <c r="H63" i="22"/>
  <c r="G73" i="22"/>
  <c r="G62" i="22"/>
  <c r="E42" i="21"/>
  <c r="J44" i="21"/>
  <c r="J45" i="21"/>
  <c r="J18" i="21"/>
  <c r="J26" i="21"/>
  <c r="H48" i="21"/>
  <c r="E13" i="40" s="1"/>
  <c r="E20" i="21"/>
  <c r="F17" i="26"/>
  <c r="I17" i="26" s="1"/>
  <c r="F19" i="26"/>
  <c r="I19" i="26" s="1"/>
  <c r="F13" i="26"/>
  <c r="I13" i="26" s="1"/>
  <c r="D20" i="10"/>
  <c r="F16" i="26"/>
  <c r="I16" i="26" s="1"/>
  <c r="G15" i="29"/>
  <c r="J15" i="29" s="1"/>
  <c r="G19" i="29"/>
  <c r="J19" i="29" s="1"/>
  <c r="G33" i="29"/>
  <c r="J33" i="29" s="1"/>
  <c r="G35" i="29"/>
  <c r="J35" i="29" s="1"/>
  <c r="F32" i="29"/>
  <c r="D35" i="9"/>
  <c r="I16" i="29"/>
  <c r="G23" i="29"/>
  <c r="J23" i="29" s="1"/>
  <c r="G27" i="29"/>
  <c r="J27" i="29" s="1"/>
  <c r="G31" i="29"/>
  <c r="J31" i="29" s="1"/>
  <c r="G18" i="29"/>
  <c r="J18" i="29" s="1"/>
  <c r="H16" i="29"/>
  <c r="H25" i="29"/>
  <c r="H29" i="29"/>
  <c r="G34" i="29"/>
  <c r="J34" i="29" s="1"/>
  <c r="G36" i="29"/>
  <c r="J36" i="29" s="1"/>
  <c r="F24" i="25"/>
  <c r="I24" i="25" s="1"/>
  <c r="F43" i="25"/>
  <c r="I43" i="25" s="1"/>
  <c r="F42" i="25"/>
  <c r="I42" i="25" s="1"/>
  <c r="F19" i="25"/>
  <c r="I19" i="25" s="1"/>
  <c r="F20" i="25"/>
  <c r="I20" i="25" s="1"/>
  <c r="F34" i="25"/>
  <c r="I34" i="25" s="1"/>
  <c r="F39" i="25"/>
  <c r="I39" i="25" s="1"/>
  <c r="F29" i="25"/>
  <c r="I29" i="25" s="1"/>
  <c r="I71" i="8"/>
  <c r="F15" i="25"/>
  <c r="I15" i="25" s="1"/>
  <c r="I139" i="7"/>
  <c r="D18" i="6"/>
  <c r="F13" i="23"/>
  <c r="G28" i="22"/>
  <c r="H28" i="22"/>
  <c r="E28" i="22"/>
  <c r="H31" i="22"/>
  <c r="E31" i="22"/>
  <c r="E35" i="22"/>
  <c r="D35" i="22"/>
  <c r="H47" i="22"/>
  <c r="E47" i="22"/>
  <c r="D47" i="22"/>
  <c r="G54" i="22"/>
  <c r="E54" i="22"/>
  <c r="D54" i="22"/>
  <c r="G26" i="22"/>
  <c r="D26" i="22"/>
  <c r="D28" i="22"/>
  <c r="D31" i="22"/>
  <c r="H35" i="22"/>
  <c r="G40" i="22"/>
  <c r="E40" i="22"/>
  <c r="D40" i="22"/>
  <c r="G48" i="22"/>
  <c r="E48" i="22"/>
  <c r="G51" i="22"/>
  <c r="H51" i="22"/>
  <c r="E51" i="22"/>
  <c r="D51" i="22"/>
  <c r="G55" i="22"/>
  <c r="H55" i="22"/>
  <c r="E55" i="22"/>
  <c r="D55" i="22"/>
  <c r="G23" i="22"/>
  <c r="H23" i="22"/>
  <c r="H27" i="22"/>
  <c r="E27" i="22"/>
  <c r="G32" i="22"/>
  <c r="E32" i="22"/>
  <c r="G36" i="22"/>
  <c r="E36" i="22"/>
  <c r="D36" i="22"/>
  <c r="G56" i="22"/>
  <c r="E56" i="22"/>
  <c r="G59" i="22"/>
  <c r="E59" i="22"/>
  <c r="D59" i="22"/>
  <c r="F59" i="22" s="1"/>
  <c r="G67" i="22"/>
  <c r="H67" i="22"/>
  <c r="E67" i="22"/>
  <c r="D67" i="22"/>
  <c r="G71" i="22"/>
  <c r="H71" i="22"/>
  <c r="E71" i="22"/>
  <c r="D71" i="22"/>
  <c r="D27" i="22"/>
  <c r="G30" i="22"/>
  <c r="D30" i="22"/>
  <c r="D32" i="22"/>
  <c r="E39" i="22"/>
  <c r="D39" i="22"/>
  <c r="H40" i="22"/>
  <c r="H59" i="22"/>
  <c r="H75" i="22"/>
  <c r="G75" i="22"/>
  <c r="F75" i="22"/>
  <c r="E75" i="22"/>
  <c r="H44" i="22"/>
  <c r="D43" i="22"/>
  <c r="D44" i="22"/>
  <c r="D50" i="22"/>
  <c r="G53" i="22"/>
  <c r="D58" i="22"/>
  <c r="E74" i="22"/>
  <c r="E43" i="22"/>
  <c r="E44" i="22"/>
  <c r="D63" i="22"/>
  <c r="F39" i="21"/>
  <c r="G39" i="21" s="1"/>
  <c r="D108" i="4"/>
  <c r="J24" i="21"/>
  <c r="I54" i="21"/>
  <c r="F31" i="40" s="1"/>
  <c r="F35" i="40" s="1"/>
  <c r="J22" i="2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25" i="21"/>
  <c r="E66" i="22"/>
  <c r="G66" i="22"/>
  <c r="D66" i="22"/>
  <c r="H66" i="22"/>
  <c r="G70" i="22"/>
  <c r="D70" i="22"/>
  <c r="E70" i="22"/>
  <c r="H70" i="22"/>
  <c r="F36" i="25"/>
  <c r="I36" i="25" s="1"/>
  <c r="D30" i="25"/>
  <c r="I41" i="21"/>
  <c r="J19" i="21"/>
  <c r="I28" i="21"/>
  <c r="J6" i="44" s="1"/>
  <c r="J8" i="44" s="1"/>
  <c r="I50" i="21"/>
  <c r="J23" i="21"/>
  <c r="H29" i="22"/>
  <c r="D29" i="22"/>
  <c r="G29" i="22"/>
  <c r="E29" i="22"/>
  <c r="E34" i="22"/>
  <c r="D34" i="22"/>
  <c r="F34" i="22" s="1"/>
  <c r="H34" i="22"/>
  <c r="G34" i="22"/>
  <c r="E38" i="22"/>
  <c r="F38" i="22"/>
  <c r="H38" i="22"/>
  <c r="G38" i="22"/>
  <c r="D38" i="22"/>
  <c r="J16" i="21"/>
  <c r="I38" i="21"/>
  <c r="E17" i="21"/>
  <c r="G17" i="21" s="1"/>
  <c r="F44" i="21"/>
  <c r="F42" i="21" s="1"/>
  <c r="I36" i="21"/>
  <c r="E38" i="21"/>
  <c r="G38" i="21" s="1"/>
  <c r="H53" i="21"/>
  <c r="G14" i="29"/>
  <c r="J14" i="29" s="1"/>
  <c r="E13" i="29"/>
  <c r="I37" i="21"/>
  <c r="J37" i="21" s="1"/>
  <c r="J15" i="21"/>
  <c r="H17" i="22"/>
  <c r="D17" i="22"/>
  <c r="E17" i="22"/>
  <c r="E30" i="22"/>
  <c r="H30" i="22"/>
  <c r="H45" i="22"/>
  <c r="D45" i="22"/>
  <c r="E45" i="22"/>
  <c r="G45" i="22"/>
  <c r="E53" i="22"/>
  <c r="D53" i="22"/>
  <c r="E69" i="22"/>
  <c r="H69" i="22"/>
  <c r="D69" i="22"/>
  <c r="G69" i="22"/>
  <c r="H139" i="7"/>
  <c r="H43" i="21"/>
  <c r="H42" i="21" s="1"/>
  <c r="I49" i="21"/>
  <c r="H21" i="22"/>
  <c r="D21" i="22"/>
  <c r="G21" i="22"/>
  <c r="E22" i="22"/>
  <c r="D23" i="22"/>
  <c r="E42" i="22"/>
  <c r="D42" i="22"/>
  <c r="F42" i="22" s="1"/>
  <c r="E46" i="22"/>
  <c r="H46" i="22"/>
  <c r="H52" i="22"/>
  <c r="D52" i="22"/>
  <c r="G52" i="22"/>
  <c r="F23" i="25"/>
  <c r="I23" i="25" s="1"/>
  <c r="D22" i="25"/>
  <c r="F44" i="25"/>
  <c r="I44" i="25" s="1"/>
  <c r="D40" i="25"/>
  <c r="G26" i="29"/>
  <c r="J26" i="29" s="1"/>
  <c r="E25" i="29"/>
  <c r="H71" i="8"/>
  <c r="I43" i="21"/>
  <c r="J21" i="21"/>
  <c r="I40" i="21"/>
  <c r="G54" i="21"/>
  <c r="G53" i="21" s="1"/>
  <c r="E53" i="21"/>
  <c r="E21" i="22"/>
  <c r="D22" i="22"/>
  <c r="E23" i="22"/>
  <c r="H25" i="22"/>
  <c r="D25" i="22"/>
  <c r="E25" i="22"/>
  <c r="G27" i="22"/>
  <c r="H37" i="22"/>
  <c r="D37" i="22"/>
  <c r="E37" i="22"/>
  <c r="G37" i="22"/>
  <c r="G42" i="22"/>
  <c r="D46" i="22"/>
  <c r="E50" i="22"/>
  <c r="G50" i="22"/>
  <c r="E52" i="22"/>
  <c r="H60" i="22"/>
  <c r="D60" i="22"/>
  <c r="F60" i="22" s="1"/>
  <c r="G60" i="22"/>
  <c r="G17" i="29"/>
  <c r="J17" i="29" s="1"/>
  <c r="F16" i="29"/>
  <c r="E26" i="22"/>
  <c r="H26" i="22"/>
  <c r="H33" i="22"/>
  <c r="D33" i="22"/>
  <c r="E33" i="22"/>
  <c r="H41" i="22"/>
  <c r="D41" i="22"/>
  <c r="E41" i="22"/>
  <c r="E58" i="22"/>
  <c r="G58" i="22"/>
  <c r="E61" i="22"/>
  <c r="D61" i="22"/>
  <c r="H68" i="22"/>
  <c r="D68" i="22"/>
  <c r="F68" i="22" s="1"/>
  <c r="G68" i="22"/>
  <c r="G31" i="22"/>
  <c r="G35" i="22"/>
  <c r="G39" i="22"/>
  <c r="G43" i="22"/>
  <c r="G47" i="22"/>
  <c r="E49" i="22"/>
  <c r="F49" i="22" s="1"/>
  <c r="H49" i="22"/>
  <c r="E57" i="22"/>
  <c r="F57" i="22" s="1"/>
  <c r="H57" i="22"/>
  <c r="E65" i="22"/>
  <c r="F65" i="22" s="1"/>
  <c r="H65" i="22"/>
  <c r="H72" i="22"/>
  <c r="D72" i="22"/>
  <c r="F72" i="22" s="1"/>
  <c r="G72" i="22"/>
  <c r="E73" i="22"/>
  <c r="F73" i="22" s="1"/>
  <c r="D74" i="22"/>
  <c r="G30" i="29"/>
  <c r="J30" i="29" s="1"/>
  <c r="E29" i="29"/>
  <c r="H48" i="22"/>
  <c r="D48" i="22"/>
  <c r="G49" i="22"/>
  <c r="H54" i="22"/>
  <c r="H56" i="22"/>
  <c r="D56" i="22"/>
  <c r="G57" i="22"/>
  <c r="H62" i="22"/>
  <c r="H64" i="22"/>
  <c r="D64" i="22"/>
  <c r="F64" i="22" s="1"/>
  <c r="G65" i="22"/>
  <c r="H73" i="22"/>
  <c r="H74" i="22"/>
  <c r="D13" i="25"/>
  <c r="F35" i="25"/>
  <c r="I35" i="25" s="1"/>
  <c r="F14" i="26"/>
  <c r="I14" i="26" s="1"/>
  <c r="D27" i="26"/>
  <c r="F20" i="44" s="1"/>
  <c r="F31" i="25"/>
  <c r="I31" i="25" s="1"/>
  <c r="E27" i="26"/>
  <c r="G20" i="44" s="1"/>
  <c r="I32" i="29"/>
  <c r="G38" i="29"/>
  <c r="J38" i="29" s="1"/>
  <c r="E37" i="29"/>
  <c r="G37" i="29" s="1"/>
  <c r="J37" i="29" s="1"/>
  <c r="F18" i="26"/>
  <c r="I18" i="26" s="1"/>
  <c r="E16" i="29"/>
  <c r="G24" i="29"/>
  <c r="J24" i="29" s="1"/>
  <c r="I25" i="29"/>
  <c r="G28" i="29"/>
  <c r="J28" i="29" s="1"/>
  <c r="E32" i="29"/>
  <c r="G29" i="29" l="1"/>
  <c r="J29" i="29" s="1"/>
  <c r="D45" i="25"/>
  <c r="F17" i="44" s="1"/>
  <c r="G25" i="29"/>
  <c r="G42" i="21"/>
  <c r="E35" i="21"/>
  <c r="D12" i="40" s="1"/>
  <c r="G44" i="21"/>
  <c r="H35" i="21"/>
  <c r="E12" i="40" s="1"/>
  <c r="E11" i="40" s="1"/>
  <c r="E19" i="40" s="1"/>
  <c r="E23" i="40" s="1"/>
  <c r="E27" i="40" s="1"/>
  <c r="F43" i="29"/>
  <c r="G19" i="44" s="1"/>
  <c r="I13" i="23"/>
  <c r="I23" i="23" s="1"/>
  <c r="K14" i="44" s="1"/>
  <c r="F23" i="23"/>
  <c r="H14" i="44" s="1"/>
  <c r="J53" i="12"/>
  <c r="D35" i="12"/>
  <c r="F40" i="25"/>
  <c r="I40" i="25" s="1"/>
  <c r="F26" i="22"/>
  <c r="I26" i="22" s="1"/>
  <c r="F56" i="22"/>
  <c r="I56" i="22" s="1"/>
  <c r="F36" i="22"/>
  <c r="I36" i="22" s="1"/>
  <c r="F22" i="22"/>
  <c r="I22" i="22" s="1"/>
  <c r="F31" i="22"/>
  <c r="I31" i="22" s="1"/>
  <c r="F40" i="22"/>
  <c r="I40" i="22" s="1"/>
  <c r="I73" i="22"/>
  <c r="I38" i="22"/>
  <c r="I34" i="22"/>
  <c r="F29" i="22"/>
  <c r="I29" i="22" s="1"/>
  <c r="I59" i="22"/>
  <c r="F39" i="22"/>
  <c r="I39" i="22" s="1"/>
  <c r="F63" i="22"/>
  <c r="I63" i="22" s="1"/>
  <c r="I64" i="22"/>
  <c r="F70" i="22"/>
  <c r="I70" i="22" s="1"/>
  <c r="F27" i="22"/>
  <c r="I27" i="22" s="1"/>
  <c r="H28" i="21"/>
  <c r="I6" i="44" s="1"/>
  <c r="I8" i="44" s="1"/>
  <c r="E28" i="21"/>
  <c r="F6" i="44" s="1"/>
  <c r="F8" i="44" s="1"/>
  <c r="E43" i="14"/>
  <c r="I53" i="12"/>
  <c r="J20" i="21"/>
  <c r="J55" i="12"/>
  <c r="J52" i="14" s="1"/>
  <c r="J50" i="14" s="1"/>
  <c r="J63" i="14" s="1"/>
  <c r="J65" i="14" s="1"/>
  <c r="H43" i="29"/>
  <c r="I19" i="44" s="1"/>
  <c r="F30" i="22"/>
  <c r="I30" i="22" s="1"/>
  <c r="F69" i="22"/>
  <c r="I69" i="22" s="1"/>
  <c r="F44" i="22"/>
  <c r="I44" i="22" s="1"/>
  <c r="F54" i="22"/>
  <c r="I54" i="22" s="1"/>
  <c r="J46" i="21"/>
  <c r="F35" i="21"/>
  <c r="J54" i="21"/>
  <c r="H56" i="21"/>
  <c r="G16" i="29"/>
  <c r="J16" i="29" s="1"/>
  <c r="I43" i="29"/>
  <c r="J19" i="44" s="1"/>
  <c r="G32" i="29"/>
  <c r="J32" i="29" s="1"/>
  <c r="J25" i="29"/>
  <c r="H45" i="25"/>
  <c r="J17" i="44" s="1"/>
  <c r="F13" i="25"/>
  <c r="E45" i="25"/>
  <c r="G17" i="44" s="1"/>
  <c r="I13" i="25"/>
  <c r="G45" i="25"/>
  <c r="I17" i="44" s="1"/>
  <c r="F52" i="22"/>
  <c r="I52" i="22" s="1"/>
  <c r="I42" i="22"/>
  <c r="I65" i="22"/>
  <c r="I60" i="22"/>
  <c r="F32" i="22"/>
  <c r="I32" i="22" s="1"/>
  <c r="F35" i="22"/>
  <c r="I35" i="22" s="1"/>
  <c r="F48" i="22"/>
  <c r="I48" i="22" s="1"/>
  <c r="F74" i="22"/>
  <c r="I74" i="22" s="1"/>
  <c r="F61" i="22"/>
  <c r="I61" i="22" s="1"/>
  <c r="F50" i="22"/>
  <c r="I50" i="22" s="1"/>
  <c r="F43" i="22"/>
  <c r="I43" i="22" s="1"/>
  <c r="F51" i="22"/>
  <c r="I51" i="22" s="1"/>
  <c r="F47" i="22"/>
  <c r="I47" i="22" s="1"/>
  <c r="F45" i="22"/>
  <c r="I45" i="22" s="1"/>
  <c r="D141" i="7"/>
  <c r="I72" i="22"/>
  <c r="I49" i="22"/>
  <c r="F23" i="22"/>
  <c r="I23" i="22" s="1"/>
  <c r="F53" i="22"/>
  <c r="I53" i="22" s="1"/>
  <c r="F46" i="22"/>
  <c r="I46" i="22" s="1"/>
  <c r="F25" i="22"/>
  <c r="I25" i="22" s="1"/>
  <c r="I57" i="22"/>
  <c r="F58" i="22"/>
  <c r="I58" i="22" s="1"/>
  <c r="F37" i="22"/>
  <c r="I37" i="22" s="1"/>
  <c r="F21" i="22"/>
  <c r="I21" i="22" s="1"/>
  <c r="E77" i="22"/>
  <c r="G12" i="44" s="1"/>
  <c r="G21" i="44" s="1"/>
  <c r="F66" i="22"/>
  <c r="I66" i="22" s="1"/>
  <c r="F71" i="22"/>
  <c r="I71" i="22" s="1"/>
  <c r="F67" i="22"/>
  <c r="I67" i="22" s="1"/>
  <c r="F55" i="22"/>
  <c r="I55" i="22" s="1"/>
  <c r="F28" i="22"/>
  <c r="I28" i="22" s="1"/>
  <c r="F56" i="21"/>
  <c r="I53" i="21"/>
  <c r="J53" i="21" s="1"/>
  <c r="J38" i="21"/>
  <c r="F28" i="21"/>
  <c r="G6" i="44" s="1"/>
  <c r="G8" i="44" s="1"/>
  <c r="H77" i="22"/>
  <c r="J12" i="44" s="1"/>
  <c r="J21" i="44" s="1"/>
  <c r="E48" i="21"/>
  <c r="D13" i="40" s="1"/>
  <c r="I48" i="21"/>
  <c r="F13" i="40" s="1"/>
  <c r="J49" i="21"/>
  <c r="E43" i="29"/>
  <c r="F19" i="44" s="1"/>
  <c r="G13" i="29"/>
  <c r="J36" i="21"/>
  <c r="J41" i="21"/>
  <c r="I27" i="26"/>
  <c r="K20" i="44" s="1"/>
  <c r="I68" i="22"/>
  <c r="F41" i="22"/>
  <c r="I41" i="22" s="1"/>
  <c r="F33" i="22"/>
  <c r="I33" i="22" s="1"/>
  <c r="G77" i="22"/>
  <c r="I12" i="44" s="1"/>
  <c r="I21" i="44" s="1"/>
  <c r="I42" i="21"/>
  <c r="J42" i="21" s="1"/>
  <c r="J43" i="21"/>
  <c r="F17" i="22"/>
  <c r="I17" i="22" s="1"/>
  <c r="J50" i="21"/>
  <c r="F30" i="25"/>
  <c r="I30" i="25" s="1"/>
  <c r="F27" i="26"/>
  <c r="H20" i="44" s="1"/>
  <c r="D77" i="22"/>
  <c r="F12" i="44" s="1"/>
  <c r="F21" i="44" s="1"/>
  <c r="I39" i="21"/>
  <c r="J40" i="21"/>
  <c r="F22" i="25"/>
  <c r="I22" i="25" s="1"/>
  <c r="J17" i="21"/>
  <c r="D11" i="40" l="1"/>
  <c r="D19" i="40" s="1"/>
  <c r="D23" i="40" s="1"/>
  <c r="D27" i="40" s="1"/>
  <c r="G48" i="21"/>
  <c r="G56" i="21" s="1"/>
  <c r="B47" i="14"/>
  <c r="I55" i="12"/>
  <c r="I52" i="14" s="1"/>
  <c r="I50" i="14" s="1"/>
  <c r="I63" i="14" s="1"/>
  <c r="I65" i="14" s="1"/>
  <c r="B48" i="14" s="1"/>
  <c r="J28" i="21"/>
  <c r="K6" i="44" s="1"/>
  <c r="K8" i="44" s="1"/>
  <c r="G28" i="21"/>
  <c r="H6" i="44" s="1"/>
  <c r="H8" i="44" s="1"/>
  <c r="J39" i="21"/>
  <c r="J35" i="21" s="1"/>
  <c r="I45" i="25"/>
  <c r="K17" i="44" s="1"/>
  <c r="I56" i="21"/>
  <c r="G32" i="26"/>
  <c r="G43" i="29"/>
  <c r="H19" i="44" s="1"/>
  <c r="J13" i="29"/>
  <c r="J43" i="29" s="1"/>
  <c r="K19" i="44" s="1"/>
  <c r="J48" i="21"/>
  <c r="G35" i="21"/>
  <c r="F77" i="22"/>
  <c r="H12" i="44" s="1"/>
  <c r="H21" i="44" s="1"/>
  <c r="I77" i="22"/>
  <c r="K12" i="44" s="1"/>
  <c r="K21" i="44" s="1"/>
  <c r="F45" i="25"/>
  <c r="H17" i="44" s="1"/>
  <c r="H34" i="26"/>
  <c r="E56" i="21"/>
  <c r="I35" i="21"/>
  <c r="F12" i="40" s="1"/>
  <c r="F11" i="40" s="1"/>
  <c r="F19" i="40" s="1"/>
  <c r="F23" i="40" s="1"/>
  <c r="F27" i="40" s="1"/>
  <c r="J56" i="21" l="1"/>
</calcChain>
</file>

<file path=xl/sharedStrings.xml><?xml version="1.0" encoding="utf-8"?>
<sst xmlns="http://schemas.openxmlformats.org/spreadsheetml/2006/main" count="1493" uniqueCount="814">
  <si>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</si>
  <si>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</si>
  <si>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</si>
  <si>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</si>
  <si>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</si>
  <si>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</si>
  <si>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</si>
  <si>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</si>
  <si>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</si>
  <si>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</si>
  <si>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</si>
  <si>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</si>
  <si>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</si>
  <si>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</si>
  <si>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</si>
  <si>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</si>
  <si>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</si>
  <si>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</si>
  <si>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</si>
  <si>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</si>
  <si>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</si>
  <si>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</si>
  <si>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</si>
  <si>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</si>
  <si>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</si>
  <si>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</si>
  <si>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</si>
  <si>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</si>
  <si>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</si>
  <si>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</si>
  <si>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</si>
  <si>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</si>
  <si>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</si>
  <si>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</si>
  <si>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</si>
  <si>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</si>
  <si>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</si>
  <si>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</si>
  <si>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</si>
  <si>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</si>
  <si>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</si>
  <si>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</si>
  <si>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</si>
  <si>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</si>
  <si>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</si>
  <si>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</si>
  <si>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</si>
  <si>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</si>
  <si>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</si>
  <si>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</si>
  <si>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</si>
  <si>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</si>
  <si>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</si>
  <si>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</si>
  <si>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</si>
  <si>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</si>
  <si>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</si>
  <si>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</si>
  <si>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</si>
  <si>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</si>
  <si>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</si>
  <si>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</si>
  <si>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</si>
  <si>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</si>
  <si>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</si>
  <si>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</si>
  <si>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</si>
  <si>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</si>
  <si>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</si>
  <si>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</si>
  <si>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</si>
  <si>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</si>
  <si>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</si>
  <si>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</si>
  <si>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</si>
  <si>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</si>
  <si>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</si>
  <si>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</si>
  <si>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</si>
  <si>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</si>
  <si>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</si>
  <si>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</si>
  <si>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</si>
  <si>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</si>
  <si>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</si>
  <si>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</si>
  <si>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</si>
  <si>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</si>
  <si>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</si>
  <si>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</si>
  <si>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</si>
  <si>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</si>
  <si>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</si>
  <si>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</si>
  <si>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</si>
  <si>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</si>
  <si>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</si>
  <si>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</si>
  <si>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</si>
  <si>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</si>
  <si>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</si>
  <si>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</si>
  <si>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</si>
  <si>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</si>
  <si>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</si>
  <si>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</si>
  <si>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</si>
  <si>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</si>
  <si>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</si>
  <si>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</si>
  <si>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</si>
  <si>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</si>
  <si>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</si>
  <si>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</si>
  <si>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</si>
  <si>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</si>
  <si>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</si>
  <si>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</si>
  <si>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</si>
  <si>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</si>
  <si>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</si>
  <si>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</si>
  <si>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</si>
  <si>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</si>
  <si>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</si>
  <si>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</si>
  <si>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</si>
  <si>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</si>
  <si>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</si>
  <si>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</si>
  <si>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</si>
  <si>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</si>
  <si>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</si>
  <si>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</si>
  <si>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</si>
  <si>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</si>
  <si>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</si>
  <si>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</si>
  <si>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</si>
  <si>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</si>
  <si>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</si>
  <si>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</si>
  <si>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</si>
  <si>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</si>
  <si>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</si>
  <si>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</si>
  <si>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</si>
  <si>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</si>
  <si>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</si>
  <si>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</si>
  <si>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</si>
  <si>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</si>
  <si>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</si>
  <si>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</si>
  <si>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</si>
  <si>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</si>
  <si>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</si>
  <si>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</si>
  <si>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</si>
  <si>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</si>
  <si>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</si>
  <si>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</si>
  <si>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</si>
  <si>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</si>
  <si>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</si>
  <si>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</si>
  <si>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</si>
  <si>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</si>
  <si>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</si>
  <si>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</si>
  <si>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</si>
  <si>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</si>
  <si>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</si>
  <si>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</si>
  <si>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</si>
  <si>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</si>
  <si>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</si>
  <si>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</si>
  <si>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</si>
  <si>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</si>
  <si>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</si>
  <si>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</si>
  <si>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</si>
  <si>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</si>
  <si>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</si>
  <si>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</si>
  <si>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</si>
  <si>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</si>
  <si>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</si>
  <si>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</si>
  <si>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</si>
  <si>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</si>
  <si>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</si>
  <si>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</si>
  <si>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</si>
  <si>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</si>
  <si>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</si>
  <si>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</si>
  <si>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</si>
  <si>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</si>
  <si>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</si>
  <si>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</si>
  <si>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</si>
  <si>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</si>
  <si>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</si>
  <si>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</si>
  <si>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</si>
  <si>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</si>
  <si>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</si>
  <si>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</si>
  <si>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</si>
  <si>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</si>
  <si>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</si>
  <si>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</si>
  <si>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</si>
  <si>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</si>
  <si>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</si>
  <si>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</si>
  <si>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</si>
  <si>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</si>
  <si>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</si>
  <si>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</si>
  <si>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</si>
  <si>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</si>
  <si>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</si>
  <si>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</si>
  <si>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</si>
  <si>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</si>
  <si>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</si>
  <si>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</si>
  <si>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</si>
  <si>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</si>
  <si>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</si>
  <si>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</si>
  <si>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</si>
  <si>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</si>
  <si>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</si>
  <si>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</si>
  <si>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</si>
  <si>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</si>
  <si>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</si>
  <si>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</si>
  <si>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</si>
  <si>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</si>
  <si>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</si>
  <si>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</si>
  <si>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</si>
  <si>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</si>
  <si>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</si>
  <si>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</si>
  <si>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</si>
  <si>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</si>
  <si>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</si>
  <si>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</si>
  <si>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</si>
  <si>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</si>
  <si>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</si>
  <si>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</si>
  <si>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</si>
  <si>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</si>
  <si>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</si>
  <si>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</si>
  <si>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</si>
  <si>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</si>
  <si>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</si>
  <si>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</si>
  <si>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</si>
  <si>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</si>
  <si>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</si>
  <si>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</si>
  <si>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</si>
  <si>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</si>
  <si>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</si>
  <si>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</si>
  <si>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</si>
  <si>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</si>
  <si>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</si>
  <si>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</si>
  <si>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</si>
  <si>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</si>
  <si>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</si>
  <si>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</si>
  <si>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</si>
  <si>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</si>
  <si>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</si>
  <si>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</si>
  <si>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</si>
  <si>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</si>
  <si>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</si>
  <si>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</si>
  <si>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</si>
  <si>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</si>
  <si>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</si>
  <si>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</si>
  <si>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</si>
  <si>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</si>
  <si>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</si>
  <si>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</si>
  <si>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</si>
  <si>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</si>
  <si>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</si>
  <si>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</si>
  <si>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</si>
  <si>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</si>
  <si>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</si>
  <si>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</si>
  <si>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</si>
  <si>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</si>
  <si>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</si>
  <si>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</si>
  <si>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</si>
  <si>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</si>
  <si>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</si>
  <si>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</si>
  <si>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</si>
  <si>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</si>
  <si>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</si>
  <si>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</si>
  <si>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</si>
  <si>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</si>
  <si>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</si>
  <si>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</si>
  <si>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</si>
  <si>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</si>
  <si>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</si>
  <si>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</si>
  <si>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</si>
  <si>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</si>
  <si>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</si>
  <si>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</si>
  <si>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</si>
  <si>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</si>
  <si>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</si>
  <si>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</si>
  <si>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</si>
  <si>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</si>
  <si>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</si>
  <si>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</si>
  <si>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</si>
  <si>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</si>
  <si>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</si>
  <si>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</si>
  <si>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</si>
  <si>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</si>
  <si>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</si>
  <si>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</si>
  <si>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</si>
  <si>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</si>
  <si>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</si>
  <si>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</si>
  <si>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</si>
  <si>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</si>
  <si>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</si>
  <si>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</si>
  <si>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</si>
  <si>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</si>
  <si>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</si>
  <si>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</si>
  <si>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</si>
  <si>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</si>
  <si>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</si>
  <si>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</si>
  <si>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</si>
  <si>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</si>
  <si>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</si>
  <si>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</si>
  <si>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</si>
  <si>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</si>
  <si>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</si>
  <si>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</si>
  <si>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</si>
  <si>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</si>
  <si>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</si>
  <si>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</si>
  <si>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</si>
  <si>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</si>
  <si>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</si>
  <si>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</si>
  <si>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</si>
  <si>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</si>
  <si>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</si>
  <si>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</si>
  <si>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</si>
  <si>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</si>
  <si>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</si>
  <si>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</si>
  <si>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</si>
  <si>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</si>
  <si>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</si>
  <si>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</si>
  <si>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</si>
  <si>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</si>
  <si>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>Cuenta Pública 2016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</si>
  <si>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</si>
  <si>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</si>
  <si>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</si>
  <si>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</si>
  <si>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</si>
  <si>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</si>
  <si>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</si>
  <si>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</si>
  <si>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</si>
  <si>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</si>
  <si>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</si>
  <si>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</si>
  <si>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</si>
  <si>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</si>
  <si>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</si>
  <si>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</si>
  <si>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</si>
  <si>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</si>
  <si>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</si>
  <si>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</si>
  <si>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</si>
  <si>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</si>
  <si>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</si>
  <si>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</si>
  <si>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</si>
  <si>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</si>
  <si>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</si>
  <si>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</si>
  <si>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</si>
  <si>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</si>
  <si>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</si>
  <si>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</si>
  <si>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</si>
  <si>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</si>
  <si>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</si>
  <si>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</si>
  <si>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</si>
  <si>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</si>
  <si>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</si>
  <si>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</si>
  <si>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</si>
  <si>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</si>
  <si>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</si>
  <si>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</si>
  <si>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</si>
  <si>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</si>
  <si>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</si>
  <si>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</si>
  <si>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</si>
  <si>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</si>
  <si>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</si>
  <si>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</si>
  <si>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</si>
  <si>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</si>
  <si>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</si>
  <si>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</si>
  <si>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</si>
  <si>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</si>
  <si>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</si>
  <si>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</si>
  <si>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</si>
  <si>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</si>
  <si>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</si>
  <si>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</si>
  <si>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</si>
  <si>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</si>
  <si>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</si>
  <si>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</si>
  <si>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</si>
  <si>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</si>
  <si>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</si>
  <si>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</si>
  <si>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</si>
  <si>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</si>
  <si>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</si>
  <si>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</si>
  <si>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</si>
  <si>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</si>
  <si>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</si>
  <si>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</si>
  <si>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</si>
  <si>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</si>
  <si>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</si>
  <si>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</si>
  <si>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</si>
  <si>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</si>
  <si>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</si>
  <si>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</si>
  <si>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</si>
  <si>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</si>
  <si>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</si>
  <si>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</si>
  <si>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</si>
  <si>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</si>
  <si>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</si>
  <si>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</si>
  <si>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</si>
  <si>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</si>
  <si>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</si>
  <si>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</si>
  <si>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</si>
  <si>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</si>
  <si>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</si>
  <si>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</si>
  <si>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</si>
  <si>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</si>
  <si>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</si>
  <si>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</si>
  <si>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</si>
  <si>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</si>
  <si>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</si>
  <si>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</si>
  <si>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</si>
  <si>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</si>
  <si>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</si>
  <si>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</si>
  <si>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</si>
  <si>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</si>
  <si>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</si>
  <si>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</si>
  <si>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</si>
  <si>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</si>
  <si>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</si>
  <si>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</si>
  <si>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</si>
  <si>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</si>
  <si>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</si>
  <si>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</si>
  <si>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</si>
  <si>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</si>
  <si>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</si>
  <si>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</si>
  <si>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</si>
  <si>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</si>
  <si>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</si>
  <si>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</si>
  <si>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</si>
  <si>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</si>
  <si>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</si>
  <si>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</si>
  <si>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</si>
  <si>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</si>
  <si>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</si>
  <si>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</si>
  <si>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</si>
  <si>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</si>
  <si>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</si>
  <si>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</si>
  <si>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</si>
  <si>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</si>
  <si>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</si>
  <si>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</si>
  <si>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</si>
  <si>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</si>
  <si>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</si>
  <si>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</si>
  <si>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</si>
  <si>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</si>
  <si>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</si>
  <si>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</si>
  <si>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</si>
  <si>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</si>
  <si>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</si>
  <si>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</si>
  <si>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</si>
  <si>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</si>
  <si>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</si>
  <si>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</si>
  <si>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</si>
  <si>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</si>
  <si>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</si>
  <si>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</si>
  <si>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</si>
  <si>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</si>
  <si>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</si>
  <si>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</si>
  <si>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</si>
  <si>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</si>
  <si>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</si>
  <si>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</si>
  <si>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</si>
  <si>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</si>
  <si>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</si>
  <si>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</si>
  <si>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</si>
  <si>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</si>
  <si>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</si>
  <si>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</si>
  <si>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</si>
  <si>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</si>
  <si>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</si>
  <si>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</si>
  <si>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</si>
  <si>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</si>
  <si>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</si>
  <si>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</si>
  <si>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</si>
  <si>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</si>
  <si>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</si>
  <si>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</si>
  <si>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</si>
  <si>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</si>
  <si>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</si>
  <si>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</si>
  <si>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</si>
  <si>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</si>
  <si>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</si>
  <si>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</si>
  <si>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</si>
  <si>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</si>
  <si>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</si>
  <si>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</si>
  <si>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</si>
  <si>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</si>
  <si>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</si>
  <si>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</si>
  <si>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</si>
  <si>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</si>
  <si>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</si>
  <si>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</si>
  <si>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</si>
  <si>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</si>
  <si>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</si>
  <si>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</si>
  <si>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</si>
  <si>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</si>
  <si>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</si>
  <si>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</si>
  <si>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</si>
  <si>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</si>
  <si>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</si>
  <si>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</si>
  <si>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</si>
  <si>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</si>
  <si>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</si>
  <si>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</si>
  <si>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</si>
  <si>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</si>
  <si>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</si>
  <si>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</si>
  <si>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</si>
  <si>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</si>
  <si>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</si>
  <si>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</si>
  <si>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</si>
  <si>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</si>
  <si>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</si>
  <si>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</si>
  <si>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</si>
  <si>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</si>
  <si>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</si>
  <si>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</si>
  <si>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</si>
  <si>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</si>
  <si>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</si>
  <si>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</si>
  <si>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</si>
  <si>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</si>
  <si>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</si>
  <si>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</si>
  <si>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</si>
  <si>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</si>
  <si>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</si>
  <si>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</si>
  <si>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</si>
  <si>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</si>
  <si>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</si>
  <si>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</si>
  <si>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</si>
  <si>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</si>
  <si>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</si>
  <si>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</si>
  <si>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</si>
  <si>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</si>
  <si>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</si>
  <si>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</si>
  <si>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</si>
  <si>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</si>
  <si>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</si>
  <si>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</si>
  <si>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</si>
  <si>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</si>
  <si>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</si>
  <si>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</si>
  <si>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</si>
  <si>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</si>
  <si>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</si>
  <si>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</si>
  <si>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</si>
  <si>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</si>
  <si>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</si>
  <si>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</si>
  <si>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</si>
  <si>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</si>
  <si>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</si>
  <si>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</si>
  <si>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</si>
  <si>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</si>
  <si>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</si>
  <si>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</si>
  <si>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</si>
  <si>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</si>
  <si>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</si>
  <si>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</si>
  <si>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</si>
  <si>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</si>
  <si>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</si>
  <si>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</si>
  <si>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</si>
  <si>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</si>
  <si>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</si>
  <si>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</si>
  <si>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</si>
  <si>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</si>
  <si>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</si>
  <si>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</si>
  <si>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</si>
  <si>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</si>
  <si>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</si>
  <si>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</si>
  <si>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</si>
  <si>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</si>
  <si>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</si>
  <si>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</si>
  <si>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</si>
  <si>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</si>
  <si>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</si>
  <si>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</si>
  <si>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</si>
  <si>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</si>
  <si>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</si>
  <si>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</si>
  <si>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</si>
  <si>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</si>
  <si>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</si>
  <si>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</si>
  <si>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</si>
  <si>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</si>
  <si>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</si>
  <si>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</si>
  <si>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</si>
  <si>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</si>
  <si>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</si>
  <si>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</si>
  <si>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</si>
  <si>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</si>
  <si>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</si>
  <si>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</si>
  <si>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</si>
  <si>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</si>
  <si>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</si>
  <si>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</si>
  <si>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</si>
  <si>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</si>
  <si>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</si>
  <si>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</si>
  <si>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</si>
  <si>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</si>
  <si>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</si>
  <si>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</si>
  <si>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</si>
  <si>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</si>
  <si>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</si>
  <si>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</si>
  <si>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</si>
  <si>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</si>
  <si>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</si>
  <si>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</si>
  <si>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</si>
  <si>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</si>
  <si>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UNIDAD ADMINISTRATIVA 1</t>
  </si>
  <si>
    <t>UNIDAD ADMINISTRATIVA 2</t>
  </si>
  <si>
    <t>UNIDAD ADMINISTRATIVA XX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</si>
  <si>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</si>
  <si>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</si>
  <si>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</si>
  <si>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</si>
  <si>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</si>
  <si>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</si>
  <si>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</si>
  <si>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</si>
  <si>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</si>
  <si>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</si>
  <si>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</si>
  <si>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</si>
  <si>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</si>
  <si>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</si>
  <si>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</si>
  <si>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</si>
  <si>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</si>
  <si>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</si>
  <si>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</si>
  <si>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</si>
  <si>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</si>
  <si>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</si>
  <si>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</si>
  <si>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</si>
  <si>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</si>
  <si>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</si>
  <si>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</si>
  <si>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</si>
  <si>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</si>
  <si>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</si>
  <si>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</si>
  <si>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</si>
  <si>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</si>
  <si>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</si>
  <si>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</si>
  <si>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</si>
  <si>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</si>
  <si>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</si>
  <si>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</si>
  <si>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</si>
  <si>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</si>
  <si>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</si>
  <si>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</si>
  <si>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 xml:space="preserve">UNIVERSIDAD TECNOLÓGICA DE SAN JUAN DEL RÍO </t>
  </si>
  <si>
    <t xml:space="preserve">M. EN A.  GONZALO FERREIRA MARTÍNEZ </t>
  </si>
  <si>
    <t>DIRECTOR DE ADMINISTRACIÓN  Y FINANZAS</t>
  </si>
  <si>
    <t>C.P.  ELDA GRACIELA FLORES HERNÁNDEZ</t>
  </si>
  <si>
    <t>JEFA DEL DEPARTAMENTO DE 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</si>
</sst>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  <numFmt numFmtId="173" formatCode="_-* #,##0.00_-;\-* #,##0.00_-;_-* \-??_-;_-@_-"/>
    <numFmt numFmtId="174" formatCode="_-[$€-2]* #,##0.00_-;\-[$€-2]* #,##0.00_-;_-[$€-2]* &quot;-&quot;??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30"/>
      <name val="Calibri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9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37" fillId="0" borderId="0"/>
    <xf numFmtId="173" fontId="37" fillId="0" borderId="0" applyFill="0" applyBorder="0" applyAlignment="0" applyProtection="0"/>
    <xf numFmtId="9" fontId="37" fillId="0" borderId="0" applyFill="0" applyBorder="0" applyAlignment="0" applyProtection="0"/>
    <xf numFmtId="0" fontId="9" fillId="0" borderId="0"/>
    <xf numFmtId="167" fontId="37" fillId="0" borderId="0"/>
    <xf numFmtId="44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0" fillId="21" borderId="21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1" fillId="22" borderId="22" applyNumberFormat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0" fontId="44" fillId="12" borderId="21" applyNumberFormat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0" fontId="9" fillId="28" borderId="24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0" fillId="21" borderId="25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9" fillId="0" borderId="0"/>
  </cellStyleXfs>
  <cellXfs count="793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6" fillId="0" borderId="0" xfId="0" applyNumberFormat="1" applyFont="1" applyFill="1" applyProtection="1"/>
    <xf numFmtId="164" fontId="6" fillId="0" borderId="0" xfId="1" applyNumberFormat="1" applyFont="1" applyFill="1" applyProtection="1"/>
    <xf numFmtId="4" fontId="6" fillId="0" borderId="0" xfId="1" applyNumberFormat="1" applyFont="1" applyFill="1" applyProtection="1"/>
    <xf numFmtId="165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8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69" fontId="17" fillId="3" borderId="10" xfId="5" applyNumberFormat="1" applyFont="1" applyFill="1" applyBorder="1" applyAlignment="1" applyProtection="1">
      <alignment horizontal="center"/>
    </xf>
    <xf numFmtId="169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6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6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1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0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1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1" xfId="0" applyFont="1" applyFill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171" fontId="5" fillId="3" borderId="0" xfId="0" applyNumberFormat="1" applyFont="1" applyFill="1" applyAlignment="1">
      <alignment horizontal="left"/>
    </xf>
    <xf numFmtId="171" fontId="5" fillId="3" borderId="1" xfId="0" applyNumberFormat="1" applyFont="1" applyFill="1" applyBorder="1" applyAlignment="1">
      <alignment horizontal="left"/>
    </xf>
    <xf numFmtId="171" fontId="5" fillId="3" borderId="1" xfId="0" applyNumberFormat="1" applyFont="1" applyFill="1" applyBorder="1"/>
    <xf numFmtId="171" fontId="5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vertical="center"/>
    </xf>
    <xf numFmtId="170" fontId="5" fillId="3" borderId="1" xfId="0" applyNumberFormat="1" applyFont="1" applyFill="1" applyBorder="1"/>
    <xf numFmtId="170" fontId="5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34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8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8" fontId="11" fillId="5" borderId="7" xfId="0" applyNumberFormat="1" applyFont="1" applyFill="1" applyBorder="1" applyAlignment="1" applyProtection="1">
      <alignment wrapText="1"/>
      <protection locked="0"/>
    </xf>
    <xf numFmtId="168" fontId="11" fillId="5" borderId="14" xfId="0" applyNumberFormat="1" applyFont="1" applyFill="1" applyBorder="1" applyAlignment="1" applyProtection="1">
      <alignment wrapText="1"/>
      <protection locked="0"/>
    </xf>
    <xf numFmtId="168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8" fontId="10" fillId="3" borderId="7" xfId="0" applyNumberFormat="1" applyFont="1" applyFill="1" applyBorder="1" applyAlignment="1" applyProtection="1">
      <alignment wrapText="1"/>
    </xf>
    <xf numFmtId="168" fontId="10" fillId="3" borderId="14" xfId="0" applyNumberFormat="1" applyFont="1" applyFill="1" applyBorder="1" applyAlignment="1" applyProtection="1">
      <alignment wrapText="1"/>
    </xf>
    <xf numFmtId="168" fontId="10" fillId="3" borderId="8" xfId="0" applyNumberFormat="1" applyFont="1" applyFill="1" applyBorder="1" applyAlignment="1" applyProtection="1">
      <alignment wrapText="1"/>
    </xf>
    <xf numFmtId="171" fontId="6" fillId="3" borderId="9" xfId="0" applyNumberFormat="1" applyFont="1" applyFill="1" applyBorder="1" applyAlignment="1" applyProtection="1">
      <alignment wrapText="1"/>
    </xf>
    <xf numFmtId="171" fontId="6" fillId="3" borderId="15" xfId="0" applyNumberFormat="1" applyFont="1" applyFill="1" applyBorder="1" applyAlignment="1" applyProtection="1">
      <alignment wrapText="1"/>
    </xf>
    <xf numFmtId="171" fontId="6" fillId="3" borderId="10" xfId="0" applyNumberFormat="1" applyFont="1" applyFill="1" applyBorder="1" applyAlignment="1" applyProtection="1">
      <alignment wrapText="1"/>
    </xf>
    <xf numFmtId="171" fontId="6" fillId="3" borderId="7" xfId="0" applyNumberFormat="1" applyFont="1" applyFill="1" applyBorder="1" applyAlignment="1" applyProtection="1">
      <alignment wrapText="1"/>
    </xf>
    <xf numFmtId="171" fontId="6" fillId="3" borderId="14" xfId="0" applyNumberFormat="1" applyFont="1" applyFill="1" applyBorder="1" applyAlignment="1" applyProtection="1">
      <alignment wrapText="1"/>
    </xf>
    <xf numFmtId="171" fontId="6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wrapText="1"/>
    </xf>
    <xf numFmtId="168" fontId="11" fillId="3" borderId="14" xfId="0" applyNumberFormat="1" applyFont="1" applyFill="1" applyBorder="1" applyAlignment="1" applyProtection="1">
      <alignment wrapText="1"/>
    </xf>
    <xf numFmtId="168" fontId="11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vertical="center" wrapText="1"/>
    </xf>
    <xf numFmtId="168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1" fontId="6" fillId="3" borderId="7" xfId="0" applyNumberFormat="1" applyFont="1" applyFill="1" applyBorder="1" applyProtection="1"/>
    <xf numFmtId="171" fontId="6" fillId="3" borderId="14" xfId="0" applyNumberFormat="1" applyFont="1" applyFill="1" applyBorder="1" applyProtection="1"/>
    <xf numFmtId="171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wrapText="1"/>
    </xf>
    <xf numFmtId="171" fontId="5" fillId="3" borderId="14" xfId="0" applyNumberFormat="1" applyFont="1" applyFill="1" applyBorder="1" applyAlignment="1" applyProtection="1">
      <alignment wrapText="1"/>
    </xf>
    <xf numFmtId="171" fontId="5" fillId="3" borderId="8" xfId="0" applyNumberFormat="1" applyFont="1" applyFill="1" applyBorder="1" applyAlignment="1" applyProtection="1">
      <alignment wrapText="1"/>
    </xf>
    <xf numFmtId="168" fontId="5" fillId="3" borderId="7" xfId="0" applyNumberFormat="1" applyFont="1" applyFill="1" applyBorder="1" applyAlignment="1" applyProtection="1">
      <alignment wrapText="1"/>
    </xf>
    <xf numFmtId="168" fontId="5" fillId="3" borderId="14" xfId="0" applyNumberFormat="1" applyFont="1" applyFill="1" applyBorder="1" applyAlignment="1" applyProtection="1">
      <alignment wrapText="1"/>
    </xf>
    <xf numFmtId="168" fontId="5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/>
    </xf>
    <xf numFmtId="168" fontId="6" fillId="3" borderId="0" xfId="0" applyNumberFormat="1" applyFont="1" applyFill="1" applyBorder="1" applyAlignment="1" applyProtection="1">
      <alignment horizontal="left"/>
    </xf>
    <xf numFmtId="168" fontId="6" fillId="3" borderId="7" xfId="0" applyNumberFormat="1" applyFont="1" applyFill="1" applyBorder="1" applyProtection="1"/>
    <xf numFmtId="168" fontId="6" fillId="3" borderId="14" xfId="0" applyNumberFormat="1" applyFont="1" applyFill="1" applyBorder="1" applyProtection="1"/>
    <xf numFmtId="168" fontId="6" fillId="3" borderId="8" xfId="0" applyNumberFormat="1" applyFont="1" applyFill="1" applyBorder="1" applyProtection="1"/>
    <xf numFmtId="168" fontId="6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0" xfId="0" applyNumberFormat="1" applyFont="1" applyFill="1" applyBorder="1" applyAlignment="1" applyProtection="1">
      <alignment horizontal="left"/>
    </xf>
    <xf numFmtId="168" fontId="5" fillId="3" borderId="7" xfId="0" applyNumberFormat="1" applyFont="1" applyFill="1" applyBorder="1" applyAlignment="1" applyProtection="1">
      <alignment horizontal="right"/>
    </xf>
    <xf numFmtId="168" fontId="5" fillId="3" borderId="14" xfId="0" applyNumberFormat="1" applyFont="1" applyFill="1" applyBorder="1" applyAlignment="1" applyProtection="1">
      <alignment horizontal="right"/>
    </xf>
    <xf numFmtId="168" fontId="5" fillId="3" borderId="8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 wrapText="1"/>
    </xf>
    <xf numFmtId="168" fontId="5" fillId="3" borderId="14" xfId="0" applyNumberFormat="1" applyFont="1" applyFill="1" applyBorder="1" applyAlignment="1" applyProtection="1">
      <alignment horizontal="right" wrapText="1"/>
    </xf>
    <xf numFmtId="168" fontId="5" fillId="3" borderId="8" xfId="0" applyNumberFormat="1" applyFont="1" applyFill="1" applyBorder="1" applyAlignment="1" applyProtection="1">
      <alignment horizontal="right" wrapText="1"/>
    </xf>
    <xf numFmtId="168" fontId="5" fillId="3" borderId="7" xfId="0" applyNumberFormat="1" applyFont="1" applyFill="1" applyBorder="1" applyProtection="1"/>
    <xf numFmtId="168" fontId="5" fillId="3" borderId="14" xfId="0" applyNumberFormat="1" applyFont="1" applyFill="1" applyBorder="1" applyProtection="1"/>
    <xf numFmtId="168" fontId="5" fillId="3" borderId="8" xfId="0" applyNumberFormat="1" applyFont="1" applyFill="1" applyBorder="1" applyProtection="1"/>
    <xf numFmtId="168" fontId="6" fillId="3" borderId="9" xfId="0" applyNumberFormat="1" applyFont="1" applyFill="1" applyBorder="1" applyAlignment="1" applyProtection="1">
      <alignment horizontal="lef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9" xfId="0" applyNumberFormat="1" applyFont="1" applyFill="1" applyBorder="1" applyProtection="1"/>
    <xf numFmtId="168" fontId="6" fillId="3" borderId="15" xfId="0" applyNumberFormat="1" applyFont="1" applyFill="1" applyBorder="1" applyProtection="1"/>
    <xf numFmtId="168" fontId="6" fillId="3" borderId="10" xfId="0" applyNumberFormat="1" applyFont="1" applyFill="1" applyBorder="1" applyProtection="1"/>
    <xf numFmtId="168" fontId="6" fillId="3" borderId="10" xfId="0" applyNumberFormat="1" applyFont="1" applyFill="1" applyBorder="1" applyAlignment="1" applyProtection="1">
      <alignment wrapText="1"/>
    </xf>
    <xf numFmtId="168" fontId="6" fillId="3" borderId="0" xfId="0" applyNumberFormat="1" applyFont="1" applyFill="1" applyAlignment="1" applyProtection="1">
      <alignment horizontal="left"/>
    </xf>
    <xf numFmtId="168" fontId="6" fillId="3" borderId="0" xfId="0" applyNumberFormat="1" applyFont="1" applyFill="1" applyProtection="1"/>
    <xf numFmtId="168" fontId="6" fillId="0" borderId="0" xfId="0" applyNumberFormat="1" applyFont="1" applyAlignment="1" applyProtection="1">
      <alignment horizontal="left"/>
    </xf>
    <xf numFmtId="168" fontId="6" fillId="0" borderId="0" xfId="0" applyNumberFormat="1" applyFont="1" applyProtection="1"/>
    <xf numFmtId="168" fontId="5" fillId="3" borderId="0" xfId="0" applyNumberFormat="1" applyFont="1" applyFill="1" applyBorder="1" applyProtection="1"/>
    <xf numFmtId="168" fontId="5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center"/>
    </xf>
    <xf numFmtId="168" fontId="6" fillId="3" borderId="14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/>
    <xf numFmtId="168" fontId="5" fillId="3" borderId="14" xfId="0" applyNumberFormat="1" applyFont="1" applyFill="1" applyBorder="1" applyAlignment="1" applyProtection="1"/>
    <xf numFmtId="168" fontId="5" fillId="3" borderId="8" xfId="0" applyNumberFormat="1" applyFont="1" applyFill="1" applyBorder="1" applyAlignment="1" applyProtection="1"/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0" xfId="0" applyNumberFormat="1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horizontal="left"/>
    </xf>
    <xf numFmtId="171" fontId="5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Protection="1"/>
    <xf numFmtId="171" fontId="5" fillId="3" borderId="14" xfId="0" applyNumberFormat="1" applyFont="1" applyFill="1" applyBorder="1" applyProtection="1"/>
    <xf numFmtId="171" fontId="5" fillId="3" borderId="8" xfId="0" applyNumberFormat="1" applyFont="1" applyFill="1" applyBorder="1" applyProtection="1"/>
    <xf numFmtId="171" fontId="6" fillId="3" borderId="7" xfId="0" applyNumberFormat="1" applyFont="1" applyFill="1" applyBorder="1" applyAlignment="1" applyProtection="1">
      <alignment horizontal="left"/>
    </xf>
    <xf numFmtId="171" fontId="6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Alignment="1" applyProtection="1">
      <alignment horizontal="right"/>
    </xf>
    <xf numFmtId="171" fontId="5" fillId="3" borderId="14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 wrapText="1"/>
    </xf>
    <xf numFmtId="171" fontId="6" fillId="3" borderId="8" xfId="0" applyNumberFormat="1" applyFont="1" applyFill="1" applyBorder="1" applyAlignment="1" applyProtection="1">
      <alignment horizontal="right" wrapText="1"/>
    </xf>
    <xf numFmtId="171" fontId="6" fillId="3" borderId="9" xfId="0" applyNumberFormat="1" applyFont="1" applyFill="1" applyBorder="1" applyAlignment="1" applyProtection="1">
      <alignment horizontal="left"/>
    </xf>
    <xf numFmtId="171" fontId="6" fillId="3" borderId="1" xfId="0" applyNumberFormat="1" applyFont="1" applyFill="1" applyBorder="1" applyAlignment="1" applyProtection="1">
      <alignment horizontal="left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0" xfId="0" applyNumberFormat="1" applyFont="1" applyFill="1" applyBorder="1" applyProtection="1"/>
    <xf numFmtId="171" fontId="6" fillId="3" borderId="0" xfId="0" applyNumberFormat="1" applyFont="1" applyFill="1" applyBorder="1" applyProtection="1"/>
    <xf numFmtId="171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0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0" fontId="6" fillId="3" borderId="9" xfId="0" applyNumberFormat="1" applyFont="1" applyFill="1" applyBorder="1" applyProtection="1"/>
    <xf numFmtId="170" fontId="6" fillId="3" borderId="15" xfId="0" applyNumberFormat="1" applyFont="1" applyFill="1" applyBorder="1" applyProtection="1"/>
    <xf numFmtId="170" fontId="6" fillId="3" borderId="1" xfId="0" applyNumberFormat="1" applyFont="1" applyFill="1" applyBorder="1" applyProtection="1"/>
    <xf numFmtId="0" fontId="6" fillId="5" borderId="7" xfId="0" applyFont="1" applyFill="1" applyBorder="1"/>
    <xf numFmtId="0" fontId="5" fillId="5" borderId="8" xfId="0" applyFont="1" applyFill="1" applyBorder="1" applyAlignment="1" applyProtection="1">
      <alignment horizontal="justify" vertical="center" wrapText="1"/>
    </xf>
    <xf numFmtId="3" fontId="10" fillId="5" borderId="14" xfId="2" applyNumberFormat="1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horizontal="justify" vertical="center" wrapText="1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2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43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43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/>
    </xf>
    <xf numFmtId="0" fontId="33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10" fillId="3" borderId="0" xfId="6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171" fontId="5" fillId="3" borderId="7" xfId="0" applyNumberFormat="1" applyFont="1" applyFill="1" applyBorder="1" applyAlignment="1" applyProtection="1">
      <alignment horizontal="left" wrapText="1"/>
    </xf>
    <xf numFmtId="171" fontId="5" fillId="3" borderId="8" xfId="0" applyNumberFormat="1" applyFont="1" applyFill="1" applyBorder="1" applyAlignment="1" applyProtection="1">
      <alignment horizontal="left" wrapText="1"/>
    </xf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8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8" xfId="0" applyNumberFormat="1" applyFont="1" applyFill="1" applyBorder="1" applyAlignment="1" applyProtection="1">
      <alignment horizontal="left"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8" xfId="0" applyNumberFormat="1" applyFont="1" applyFill="1" applyBorder="1" applyAlignment="1" applyProtection="1">
      <alignment horizontal="left" wrapText="1"/>
    </xf>
    <xf numFmtId="168" fontId="10" fillId="3" borderId="0" xfId="6" applyNumberFormat="1" applyFont="1" applyFill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5" xfId="0" applyNumberFormat="1" applyFont="1" applyFill="1" applyBorder="1" applyAlignment="1" applyProtection="1">
      <alignment horizontal="center" vertical="center" wrapText="1"/>
    </xf>
    <xf numFmtId="168" fontId="5" fillId="2" borderId="13" xfId="0" applyNumberFormat="1" applyFont="1" applyFill="1" applyBorder="1" applyAlignment="1" applyProtection="1">
      <alignment horizontal="center" vertical="center" wrapText="1"/>
    </xf>
    <xf numFmtId="168" fontId="5" fillId="2" borderId="10" xfId="0" applyNumberFormat="1" applyFont="1" applyFill="1" applyBorder="1" applyAlignment="1" applyProtection="1">
      <alignment horizontal="center" vertical="center" wrapText="1"/>
    </xf>
    <xf numFmtId="168" fontId="5" fillId="2" borderId="11" xfId="0" applyNumberFormat="1" applyFont="1" applyFill="1" applyBorder="1" applyAlignment="1" applyProtection="1">
      <alignment horizontal="left" vertical="center" wrapText="1"/>
    </xf>
    <xf numFmtId="168" fontId="5" fillId="2" borderId="12" xfId="0" applyNumberFormat="1" applyFont="1" applyFill="1" applyBorder="1" applyAlignment="1" applyProtection="1">
      <alignment horizontal="left" vertical="center" wrapText="1"/>
    </xf>
    <xf numFmtId="168" fontId="5" fillId="2" borderId="9" xfId="0" applyNumberFormat="1" applyFont="1" applyFill="1" applyBorder="1" applyAlignment="1" applyProtection="1">
      <alignment horizontal="left" vertical="center" wrapText="1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168" fontId="5" fillId="3" borderId="1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8" xfId="0" applyNumberFormat="1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4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70" fontId="5" fillId="3" borderId="0" xfId="0" applyNumberFormat="1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center"/>
    </xf>
    <xf numFmtId="43" fontId="36" fillId="4" borderId="0" xfId="1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</cellXfs>
  <cellStyles count="796">
    <cellStyle name="=C:\WINNT\SYSTEM32\COMMAND.COM" xfId="3"/>
    <cellStyle name="=C:\WINNT\SYSTEM32\COMMAND.COM 2" xfId="11"/>
    <cellStyle name="20% - Énfasis1 10" xfId="17"/>
    <cellStyle name="20% - Énfasis1 11" xfId="18"/>
    <cellStyle name="20% - Énfasis1 12" xfId="19"/>
    <cellStyle name="20% - Énfasis1 13" xfId="20"/>
    <cellStyle name="20% - Énfasis1 14" xfId="21"/>
    <cellStyle name="20% - Énfasis1 15" xfId="22"/>
    <cellStyle name="20% - Énfasis1 16" xfId="23"/>
    <cellStyle name="20% - Énfasis1 17" xfId="24"/>
    <cellStyle name="20% - Énfasis1 18" xfId="25"/>
    <cellStyle name="20% - Énfasis1 2" xfId="26"/>
    <cellStyle name="20% - Énfasis1 3" xfId="27"/>
    <cellStyle name="20% - Énfasis1 4" xfId="28"/>
    <cellStyle name="20% - Énfasis1 5" xfId="29"/>
    <cellStyle name="20% - Énfasis1 6" xfId="30"/>
    <cellStyle name="20% - Énfasis1 7" xfId="31"/>
    <cellStyle name="20% - Énfasis1 8" xfId="32"/>
    <cellStyle name="20% - Énfasis1 9" xfId="33"/>
    <cellStyle name="20% - Énfasis2 10" xfId="34"/>
    <cellStyle name="20% - Énfasis2 11" xfId="35"/>
    <cellStyle name="20% - Énfasis2 12" xfId="36"/>
    <cellStyle name="20% - Énfasis2 13" xfId="37"/>
    <cellStyle name="20% - Énfasis2 14" xfId="38"/>
    <cellStyle name="20% - Énfasis2 15" xfId="39"/>
    <cellStyle name="20% - Énfasis2 16" xfId="40"/>
    <cellStyle name="20% - Énfasis2 17" xfId="41"/>
    <cellStyle name="20% - Énfasis2 18" xfId="42"/>
    <cellStyle name="20% - Énfasis2 2" xfId="43"/>
    <cellStyle name="20% - Énfasis2 3" xfId="44"/>
    <cellStyle name="20% - Énfasis2 4" xfId="45"/>
    <cellStyle name="20% - Énfasis2 5" xfId="46"/>
    <cellStyle name="20% - Énfasis2 6" xfId="47"/>
    <cellStyle name="20% - Énfasis2 7" xfId="48"/>
    <cellStyle name="20% - Énfasis2 8" xfId="49"/>
    <cellStyle name="20% - Énfasis2 9" xfId="50"/>
    <cellStyle name="20% - Énfasis3 10" xfId="51"/>
    <cellStyle name="20% - Énfasis3 11" xfId="52"/>
    <cellStyle name="20% - Énfasis3 12" xfId="53"/>
    <cellStyle name="20% - Énfasis3 13" xfId="54"/>
    <cellStyle name="20% - Énfasis3 14" xfId="55"/>
    <cellStyle name="20% - Énfasis3 15" xfId="56"/>
    <cellStyle name="20% - Énfasis3 16" xfId="57"/>
    <cellStyle name="20% - Énfasis3 17" xfId="58"/>
    <cellStyle name="20% - Énfasis3 18" xfId="59"/>
    <cellStyle name="20% - Énfasis3 2" xfId="60"/>
    <cellStyle name="20% - Énfasis3 3" xfId="61"/>
    <cellStyle name="20% - Énfasis3 4" xfId="62"/>
    <cellStyle name="20% - Énfasis3 5" xfId="63"/>
    <cellStyle name="20% - Énfasis3 6" xfId="64"/>
    <cellStyle name="20% - Énfasis3 7" xfId="65"/>
    <cellStyle name="20% - Énfasis3 8" xfId="66"/>
    <cellStyle name="20% - Énfasis3 9" xfId="67"/>
    <cellStyle name="20% - Énfasis4 10" xfId="68"/>
    <cellStyle name="20% - Énfasis4 11" xfId="69"/>
    <cellStyle name="20% - Énfasis4 12" xfId="70"/>
    <cellStyle name="20% - Énfasis4 13" xfId="71"/>
    <cellStyle name="20% - Énfasis4 14" xfId="72"/>
    <cellStyle name="20% - Énfasis4 15" xfId="73"/>
    <cellStyle name="20% - Énfasis4 16" xfId="74"/>
    <cellStyle name="20% - Énfasis4 17" xfId="75"/>
    <cellStyle name="20% - Énfasis4 18" xfId="76"/>
    <cellStyle name="20% - Énfasis4 2" xfId="77"/>
    <cellStyle name="20% - Énfasis4 3" xfId="78"/>
    <cellStyle name="20% - Énfasis4 4" xfId="79"/>
    <cellStyle name="20% - Énfasis4 5" xfId="80"/>
    <cellStyle name="20% - Énfasis4 6" xfId="81"/>
    <cellStyle name="20% - Énfasis4 7" xfId="82"/>
    <cellStyle name="20% - Énfasis4 8" xfId="83"/>
    <cellStyle name="20% - Énfasis4 9" xfId="84"/>
    <cellStyle name="20% - Énfasis5 10" xfId="85"/>
    <cellStyle name="20% - Énfasis5 11" xfId="86"/>
    <cellStyle name="20% - Énfasis5 12" xfId="87"/>
    <cellStyle name="20% - Énfasis5 13" xfId="88"/>
    <cellStyle name="20% - Énfasis5 14" xfId="89"/>
    <cellStyle name="20% - Énfasis5 15" xfId="90"/>
    <cellStyle name="20% - Énfasis5 16" xfId="91"/>
    <cellStyle name="20% - Énfasis5 17" xfId="92"/>
    <cellStyle name="20% - Énfasis5 18" xfId="93"/>
    <cellStyle name="20% - Énfasis5 2" xfId="94"/>
    <cellStyle name="20% - Énfasis5 3" xfId="95"/>
    <cellStyle name="20% - Énfasis5 4" xfId="96"/>
    <cellStyle name="20% - Énfasis5 5" xfId="97"/>
    <cellStyle name="20% - Énfasis5 6" xfId="98"/>
    <cellStyle name="20% - Énfasis5 7" xfId="99"/>
    <cellStyle name="20% - Énfasis5 8" xfId="100"/>
    <cellStyle name="20% - Énfasis5 9" xfId="101"/>
    <cellStyle name="20% - Énfasis6 10" xfId="102"/>
    <cellStyle name="20% - Énfasis6 11" xfId="103"/>
    <cellStyle name="20% - Énfasis6 12" xfId="104"/>
    <cellStyle name="20% - Énfasis6 13" xfId="105"/>
    <cellStyle name="20% - Énfasis6 14" xfId="106"/>
    <cellStyle name="20% - Énfasis6 15" xfId="107"/>
    <cellStyle name="20% - Énfasis6 16" xfId="108"/>
    <cellStyle name="20% - Énfasis6 17" xfId="109"/>
    <cellStyle name="20% - Énfasis6 18" xfId="110"/>
    <cellStyle name="20% - Énfasis6 2" xfId="111"/>
    <cellStyle name="20% - Énfasis6 3" xfId="112"/>
    <cellStyle name="20% - Énfasis6 4" xfId="113"/>
    <cellStyle name="20% - Énfasis6 5" xfId="114"/>
    <cellStyle name="20% - Énfasis6 6" xfId="115"/>
    <cellStyle name="20% - Énfasis6 7" xfId="116"/>
    <cellStyle name="20% - Énfasis6 8" xfId="117"/>
    <cellStyle name="20% - Énfasis6 9" xfId="118"/>
    <cellStyle name="40% - Énfasis1 10" xfId="119"/>
    <cellStyle name="40% - Énfasis1 11" xfId="120"/>
    <cellStyle name="40% - Énfasis1 12" xfId="121"/>
    <cellStyle name="40% - Énfasis1 13" xfId="122"/>
    <cellStyle name="40% - Énfasis1 14" xfId="123"/>
    <cellStyle name="40% - Énfasis1 15" xfId="124"/>
    <cellStyle name="40% - Énfasis1 16" xfId="125"/>
    <cellStyle name="40% - Énfasis1 17" xfId="126"/>
    <cellStyle name="40% - Énfasis1 18" xfId="127"/>
    <cellStyle name="40% - Énfasis1 2" xfId="128"/>
    <cellStyle name="40% - Énfasis1 3" xfId="129"/>
    <cellStyle name="40% - Énfasis1 4" xfId="130"/>
    <cellStyle name="40% - Énfasis1 5" xfId="131"/>
    <cellStyle name="40% - Énfasis1 6" xfId="132"/>
    <cellStyle name="40% - Énfasis1 7" xfId="133"/>
    <cellStyle name="40% - Énfasis1 8" xfId="134"/>
    <cellStyle name="40% - Énfasis1 9" xfId="135"/>
    <cellStyle name="40% - Énfasis2 10" xfId="136"/>
    <cellStyle name="40% - Énfasis2 11" xfId="137"/>
    <cellStyle name="40% - Énfasis2 12" xfId="138"/>
    <cellStyle name="40% - Énfasis2 13" xfId="139"/>
    <cellStyle name="40% - Énfasis2 14" xfId="140"/>
    <cellStyle name="40% - Énfasis2 15" xfId="141"/>
    <cellStyle name="40% - Énfasis2 16" xfId="142"/>
    <cellStyle name="40% - Énfasis2 17" xfId="143"/>
    <cellStyle name="40% - Énfasis2 18" xfId="144"/>
    <cellStyle name="40% - Énfasis2 2" xfId="145"/>
    <cellStyle name="40% - Énfasis2 3" xfId="146"/>
    <cellStyle name="40% - Énfasis2 4" xfId="147"/>
    <cellStyle name="40% - Énfasis2 5" xfId="148"/>
    <cellStyle name="40% - Énfasis2 6" xfId="149"/>
    <cellStyle name="40% - Énfasis2 7" xfId="150"/>
    <cellStyle name="40% - Énfasis2 8" xfId="151"/>
    <cellStyle name="40% - Énfasis2 9" xfId="152"/>
    <cellStyle name="40% - Énfasis3 10" xfId="153"/>
    <cellStyle name="40% - Énfasis3 11" xfId="154"/>
    <cellStyle name="40% - Énfasis3 12" xfId="155"/>
    <cellStyle name="40% - Énfasis3 13" xfId="156"/>
    <cellStyle name="40% - Énfasis3 14" xfId="157"/>
    <cellStyle name="40% - Énfasis3 15" xfId="158"/>
    <cellStyle name="40% - Énfasis3 16" xfId="159"/>
    <cellStyle name="40% - Énfasis3 17" xfId="160"/>
    <cellStyle name="40% - Énfasis3 18" xfId="161"/>
    <cellStyle name="40% - Énfasis3 2" xfId="162"/>
    <cellStyle name="40% - Énfasis3 3" xfId="163"/>
    <cellStyle name="40% - Énfasis3 4" xfId="164"/>
    <cellStyle name="40% - Énfasis3 5" xfId="165"/>
    <cellStyle name="40% - Énfasis3 6" xfId="166"/>
    <cellStyle name="40% - Énfasis3 7" xfId="167"/>
    <cellStyle name="40% - Énfasis3 8" xfId="168"/>
    <cellStyle name="40% - Énfasis3 9" xfId="169"/>
    <cellStyle name="40% - Énfasis4 10" xfId="170"/>
    <cellStyle name="40% - Énfasis4 11" xfId="171"/>
    <cellStyle name="40% - Énfasis4 12" xfId="172"/>
    <cellStyle name="40% - Énfasis4 13" xfId="173"/>
    <cellStyle name="40% - Énfasis4 14" xfId="174"/>
    <cellStyle name="40% - Énfasis4 15" xfId="175"/>
    <cellStyle name="40% - Énfasis4 16" xfId="176"/>
    <cellStyle name="40% - Énfasis4 17" xfId="177"/>
    <cellStyle name="40% - Énfasis4 18" xfId="178"/>
    <cellStyle name="40% - Énfasis4 2" xfId="179"/>
    <cellStyle name="40% - Énfasis4 3" xfId="180"/>
    <cellStyle name="40% - Énfasis4 4" xfId="181"/>
    <cellStyle name="40% - Énfasis4 5" xfId="182"/>
    <cellStyle name="40% - Énfasis4 6" xfId="183"/>
    <cellStyle name="40% - Énfasis4 7" xfId="184"/>
    <cellStyle name="40% - Énfasis4 8" xfId="185"/>
    <cellStyle name="40% - Énfasis4 9" xfId="186"/>
    <cellStyle name="40% - Énfasis5 10" xfId="187"/>
    <cellStyle name="40% - Énfasis5 11" xfId="188"/>
    <cellStyle name="40% - Énfasis5 12" xfId="189"/>
    <cellStyle name="40% - Énfasis5 13" xfId="190"/>
    <cellStyle name="40% - Énfasis5 14" xfId="191"/>
    <cellStyle name="40% - Énfasis5 15" xfId="192"/>
    <cellStyle name="40% - Énfasis5 16" xfId="193"/>
    <cellStyle name="40% - Énfasis5 17" xfId="194"/>
    <cellStyle name="40% - Énfasis5 18" xfId="195"/>
    <cellStyle name="40% - Énfasis5 2" xfId="196"/>
    <cellStyle name="40% - Énfasis5 3" xfId="197"/>
    <cellStyle name="40% - Énfasis5 4" xfId="198"/>
    <cellStyle name="40% - Énfasis5 5" xfId="199"/>
    <cellStyle name="40% - Énfasis5 6" xfId="200"/>
    <cellStyle name="40% - Énfasis5 7" xfId="201"/>
    <cellStyle name="40% - Énfasis5 8" xfId="202"/>
    <cellStyle name="40% - Énfasis5 9" xfId="203"/>
    <cellStyle name="40% - Énfasis6 10" xfId="204"/>
    <cellStyle name="40% - Énfasis6 11" xfId="205"/>
    <cellStyle name="40% - Énfasis6 12" xfId="206"/>
    <cellStyle name="40% - Énfasis6 13" xfId="207"/>
    <cellStyle name="40% - Énfasis6 14" xfId="208"/>
    <cellStyle name="40% - Énfasis6 15" xfId="209"/>
    <cellStyle name="40% - Énfasis6 16" xfId="210"/>
    <cellStyle name="40% - Énfasis6 17" xfId="211"/>
    <cellStyle name="40% - Énfasis6 18" xfId="212"/>
    <cellStyle name="40% - Énfasis6 2" xfId="213"/>
    <cellStyle name="40% - Énfasis6 3" xfId="214"/>
    <cellStyle name="40% - Énfasis6 4" xfId="215"/>
    <cellStyle name="40% - Énfasis6 5" xfId="216"/>
    <cellStyle name="40% - Énfasis6 6" xfId="217"/>
    <cellStyle name="40% - Énfasis6 7" xfId="218"/>
    <cellStyle name="40% - Énfasis6 8" xfId="219"/>
    <cellStyle name="40% - Énfasis6 9" xfId="220"/>
    <cellStyle name="60% - Énfasis1 10" xfId="221"/>
    <cellStyle name="60% - Énfasis1 11" xfId="222"/>
    <cellStyle name="60% - Énfasis1 12" xfId="223"/>
    <cellStyle name="60% - Énfasis1 13" xfId="224"/>
    <cellStyle name="60% - Énfasis1 14" xfId="225"/>
    <cellStyle name="60% - Énfasis1 15" xfId="226"/>
    <cellStyle name="60% - Énfasis1 16" xfId="227"/>
    <cellStyle name="60% - Énfasis1 17" xfId="228"/>
    <cellStyle name="60% - Énfasis1 18" xfId="229"/>
    <cellStyle name="60% - Énfasis1 2" xfId="230"/>
    <cellStyle name="60% - Énfasis1 3" xfId="231"/>
    <cellStyle name="60% - Énfasis1 4" xfId="232"/>
    <cellStyle name="60% - Énfasis1 5" xfId="233"/>
    <cellStyle name="60% - Énfasis1 6" xfId="234"/>
    <cellStyle name="60% - Énfasis1 7" xfId="235"/>
    <cellStyle name="60% - Énfasis1 8" xfId="236"/>
    <cellStyle name="60% - Énfasis1 9" xfId="237"/>
    <cellStyle name="60% - Énfasis2 10" xfId="238"/>
    <cellStyle name="60% - Énfasis2 11" xfId="239"/>
    <cellStyle name="60% - Énfasis2 12" xfId="240"/>
    <cellStyle name="60% - Énfasis2 13" xfId="241"/>
    <cellStyle name="60% - Énfasis2 14" xfId="242"/>
    <cellStyle name="60% - Énfasis2 15" xfId="243"/>
    <cellStyle name="60% - Énfasis2 16" xfId="244"/>
    <cellStyle name="60% - Énfasis2 17" xfId="245"/>
    <cellStyle name="60% - Énfasis2 18" xfId="246"/>
    <cellStyle name="60% - Énfasis2 2" xfId="247"/>
    <cellStyle name="60% - Énfasis2 3" xfId="248"/>
    <cellStyle name="60% - Énfasis2 4" xfId="249"/>
    <cellStyle name="60% - Énfasis2 5" xfId="250"/>
    <cellStyle name="60% - Énfasis2 6" xfId="251"/>
    <cellStyle name="60% - Énfasis2 7" xfId="252"/>
    <cellStyle name="60% - Énfasis2 8" xfId="253"/>
    <cellStyle name="60% - Énfasis2 9" xfId="254"/>
    <cellStyle name="60% - Énfasis3 10" xfId="255"/>
    <cellStyle name="60% - Énfasis3 11" xfId="256"/>
    <cellStyle name="60% - Énfasis3 12" xfId="257"/>
    <cellStyle name="60% - Énfasis3 13" xfId="258"/>
    <cellStyle name="60% - Énfasis3 14" xfId="259"/>
    <cellStyle name="60% - Énfasis3 15" xfId="260"/>
    <cellStyle name="60% - Énfasis3 16" xfId="261"/>
    <cellStyle name="60% - Énfasis3 17" xfId="262"/>
    <cellStyle name="60% - Énfasis3 18" xfId="263"/>
    <cellStyle name="60% - Énfasis3 2" xfId="264"/>
    <cellStyle name="60% - Énfasis3 3" xfId="265"/>
    <cellStyle name="60% - Énfasis3 4" xfId="266"/>
    <cellStyle name="60% - Énfasis3 5" xfId="267"/>
    <cellStyle name="60% - Énfasis3 6" xfId="268"/>
    <cellStyle name="60% - Énfasis3 7" xfId="269"/>
    <cellStyle name="60% - Énfasis3 8" xfId="270"/>
    <cellStyle name="60% - Énfasis3 9" xfId="271"/>
    <cellStyle name="60% - Énfasis4 10" xfId="272"/>
    <cellStyle name="60% - Énfasis4 11" xfId="273"/>
    <cellStyle name="60% - Énfasis4 12" xfId="274"/>
    <cellStyle name="60% - Énfasis4 13" xfId="275"/>
    <cellStyle name="60% - Énfasis4 14" xfId="276"/>
    <cellStyle name="60% - Énfasis4 15" xfId="277"/>
    <cellStyle name="60% - Énfasis4 16" xfId="278"/>
    <cellStyle name="60% - Énfasis4 17" xfId="279"/>
    <cellStyle name="60% - Énfasis4 18" xfId="280"/>
    <cellStyle name="60% - Énfasis4 2" xfId="281"/>
    <cellStyle name="60% - Énfasis4 3" xfId="282"/>
    <cellStyle name="60% - Énfasis4 4" xfId="283"/>
    <cellStyle name="60% - Énfasis4 5" xfId="284"/>
    <cellStyle name="60% - Énfasis4 6" xfId="285"/>
    <cellStyle name="60% - Énfasis4 7" xfId="286"/>
    <cellStyle name="60% - Énfasis4 8" xfId="287"/>
    <cellStyle name="60% - Énfasis4 9" xfId="288"/>
    <cellStyle name="60% - Énfasis5 10" xfId="289"/>
    <cellStyle name="60% - Énfasis5 11" xfId="290"/>
    <cellStyle name="60% - Énfasis5 12" xfId="291"/>
    <cellStyle name="60% - Énfasis5 13" xfId="292"/>
    <cellStyle name="60% - Énfasis5 14" xfId="293"/>
    <cellStyle name="60% - Énfasis5 15" xfId="294"/>
    <cellStyle name="60% - Énfasis5 16" xfId="295"/>
    <cellStyle name="60% - Énfasis5 17" xfId="296"/>
    <cellStyle name="60% - Énfasis5 18" xfId="297"/>
    <cellStyle name="60% - Énfasis5 2" xfId="298"/>
    <cellStyle name="60% - Énfasis5 3" xfId="299"/>
    <cellStyle name="60% - Énfasis5 4" xfId="300"/>
    <cellStyle name="60% - Énfasis5 5" xfId="301"/>
    <cellStyle name="60% - Énfasis5 6" xfId="302"/>
    <cellStyle name="60% - Énfasis5 7" xfId="303"/>
    <cellStyle name="60% - Énfasis5 8" xfId="304"/>
    <cellStyle name="60% - Énfasis5 9" xfId="305"/>
    <cellStyle name="60% - Énfasis6 10" xfId="306"/>
    <cellStyle name="60% - Énfasis6 11" xfId="307"/>
    <cellStyle name="60% - Énfasis6 12" xfId="308"/>
    <cellStyle name="60% - Énfasis6 13" xfId="309"/>
    <cellStyle name="60% - Énfasis6 14" xfId="310"/>
    <cellStyle name="60% - Énfasis6 15" xfId="311"/>
    <cellStyle name="60% - Énfasis6 16" xfId="312"/>
    <cellStyle name="60% - Énfasis6 17" xfId="313"/>
    <cellStyle name="60% - Énfasis6 18" xfId="314"/>
    <cellStyle name="60% - Énfasis6 2" xfId="315"/>
    <cellStyle name="60% - Énfasis6 3" xfId="316"/>
    <cellStyle name="60% - Énfasis6 4" xfId="317"/>
    <cellStyle name="60% - Énfasis6 5" xfId="318"/>
    <cellStyle name="60% - Énfasis6 6" xfId="319"/>
    <cellStyle name="60% - Énfasis6 7" xfId="320"/>
    <cellStyle name="60% - Énfasis6 8" xfId="321"/>
    <cellStyle name="60% - Énfasis6 9" xfId="322"/>
    <cellStyle name="Buena 10" xfId="323"/>
    <cellStyle name="Buena 11" xfId="324"/>
    <cellStyle name="Buena 12" xfId="325"/>
    <cellStyle name="Buena 13" xfId="326"/>
    <cellStyle name="Buena 14" xfId="327"/>
    <cellStyle name="Buena 15" xfId="328"/>
    <cellStyle name="Buena 16" xfId="329"/>
    <cellStyle name="Buena 17" xfId="330"/>
    <cellStyle name="Buena 18" xfId="331"/>
    <cellStyle name="Buena 2" xfId="332"/>
    <cellStyle name="Buena 3" xfId="333"/>
    <cellStyle name="Buena 4" xfId="334"/>
    <cellStyle name="Buena 5" xfId="335"/>
    <cellStyle name="Buena 6" xfId="336"/>
    <cellStyle name="Buena 7" xfId="337"/>
    <cellStyle name="Buena 8" xfId="338"/>
    <cellStyle name="Buena 9" xfId="339"/>
    <cellStyle name="Cálculo 10" xfId="340"/>
    <cellStyle name="Cálculo 11" xfId="341"/>
    <cellStyle name="Cálculo 12" xfId="342"/>
    <cellStyle name="Cálculo 13" xfId="343"/>
    <cellStyle name="Cálculo 14" xfId="344"/>
    <cellStyle name="Cálculo 15" xfId="345"/>
    <cellStyle name="Cálculo 16" xfId="346"/>
    <cellStyle name="Cálculo 17" xfId="347"/>
    <cellStyle name="Cálculo 18" xfId="348"/>
    <cellStyle name="Cálculo 2" xfId="349"/>
    <cellStyle name="Cálculo 3" xfId="350"/>
    <cellStyle name="Cálculo 4" xfId="351"/>
    <cellStyle name="Cálculo 5" xfId="352"/>
    <cellStyle name="Cálculo 6" xfId="353"/>
    <cellStyle name="Cálculo 7" xfId="354"/>
    <cellStyle name="Cálculo 8" xfId="355"/>
    <cellStyle name="Cálculo 9" xfId="356"/>
    <cellStyle name="Celda de comprobación 10" xfId="357"/>
    <cellStyle name="Celda de comprobación 11" xfId="358"/>
    <cellStyle name="Celda de comprobación 12" xfId="359"/>
    <cellStyle name="Celda de comprobación 13" xfId="360"/>
    <cellStyle name="Celda de comprobación 14" xfId="361"/>
    <cellStyle name="Celda de comprobación 15" xfId="362"/>
    <cellStyle name="Celda de comprobación 16" xfId="363"/>
    <cellStyle name="Celda de comprobación 17" xfId="364"/>
    <cellStyle name="Celda de comprobación 18" xfId="365"/>
    <cellStyle name="Celda de comprobación 2" xfId="366"/>
    <cellStyle name="Celda de comprobación 3" xfId="367"/>
    <cellStyle name="Celda de comprobación 4" xfId="368"/>
    <cellStyle name="Celda de comprobación 5" xfId="369"/>
    <cellStyle name="Celda de comprobación 6" xfId="370"/>
    <cellStyle name="Celda de comprobación 7" xfId="371"/>
    <cellStyle name="Celda de comprobación 8" xfId="372"/>
    <cellStyle name="Celda de comprobación 9" xfId="373"/>
    <cellStyle name="Celda vinculada 10" xfId="374"/>
    <cellStyle name="Celda vinculada 11" xfId="375"/>
    <cellStyle name="Celda vinculada 12" xfId="376"/>
    <cellStyle name="Celda vinculada 13" xfId="377"/>
    <cellStyle name="Celda vinculada 14" xfId="378"/>
    <cellStyle name="Celda vinculada 15" xfId="379"/>
    <cellStyle name="Celda vinculada 16" xfId="380"/>
    <cellStyle name="Celda vinculada 17" xfId="381"/>
    <cellStyle name="Celda vinculada 18" xfId="382"/>
    <cellStyle name="Celda vinculada 2" xfId="383"/>
    <cellStyle name="Celda vinculada 3" xfId="384"/>
    <cellStyle name="Celda vinculada 4" xfId="385"/>
    <cellStyle name="Celda vinculada 5" xfId="386"/>
    <cellStyle name="Celda vinculada 6" xfId="387"/>
    <cellStyle name="Celda vinculada 7" xfId="388"/>
    <cellStyle name="Celda vinculada 8" xfId="389"/>
    <cellStyle name="Celda vinculada 9" xfId="390"/>
    <cellStyle name="Encabezado 4 10" xfId="391"/>
    <cellStyle name="Encabezado 4 11" xfId="392"/>
    <cellStyle name="Encabezado 4 12" xfId="393"/>
    <cellStyle name="Encabezado 4 13" xfId="394"/>
    <cellStyle name="Encabezado 4 14" xfId="395"/>
    <cellStyle name="Encabezado 4 15" xfId="396"/>
    <cellStyle name="Encabezado 4 16" xfId="397"/>
    <cellStyle name="Encabezado 4 17" xfId="398"/>
    <cellStyle name="Encabezado 4 18" xfId="399"/>
    <cellStyle name="Encabezado 4 2" xfId="400"/>
    <cellStyle name="Encabezado 4 3" xfId="401"/>
    <cellStyle name="Encabezado 4 4" xfId="402"/>
    <cellStyle name="Encabezado 4 5" xfId="403"/>
    <cellStyle name="Encabezado 4 6" xfId="404"/>
    <cellStyle name="Encabezado 4 7" xfId="405"/>
    <cellStyle name="Encabezado 4 8" xfId="406"/>
    <cellStyle name="Encabezado 4 9" xfId="407"/>
    <cellStyle name="Énfasis1 10" xfId="408"/>
    <cellStyle name="Énfasis1 11" xfId="409"/>
    <cellStyle name="Énfasis1 12" xfId="410"/>
    <cellStyle name="Énfasis1 13" xfId="411"/>
    <cellStyle name="Énfasis1 14" xfId="412"/>
    <cellStyle name="Énfasis1 15" xfId="413"/>
    <cellStyle name="Énfasis1 16" xfId="414"/>
    <cellStyle name="Énfasis1 17" xfId="415"/>
    <cellStyle name="Énfasis1 18" xfId="416"/>
    <cellStyle name="Énfasis1 2" xfId="417"/>
    <cellStyle name="Énfasis1 3" xfId="418"/>
    <cellStyle name="Énfasis1 4" xfId="419"/>
    <cellStyle name="Énfasis1 5" xfId="420"/>
    <cellStyle name="Énfasis1 6" xfId="421"/>
    <cellStyle name="Énfasis1 7" xfId="422"/>
    <cellStyle name="Énfasis1 8" xfId="423"/>
    <cellStyle name="Énfasis1 9" xfId="424"/>
    <cellStyle name="Énfasis2 10" xfId="425"/>
    <cellStyle name="Énfasis2 11" xfId="426"/>
    <cellStyle name="Énfasis2 12" xfId="427"/>
    <cellStyle name="Énfasis2 13" xfId="428"/>
    <cellStyle name="Énfasis2 14" xfId="429"/>
    <cellStyle name="Énfasis2 15" xfId="430"/>
    <cellStyle name="Énfasis2 16" xfId="431"/>
    <cellStyle name="Énfasis2 17" xfId="432"/>
    <cellStyle name="Énfasis2 18" xfId="433"/>
    <cellStyle name="Énfasis2 2" xfId="434"/>
    <cellStyle name="Énfasis2 3" xfId="435"/>
    <cellStyle name="Énfasis2 4" xfId="436"/>
    <cellStyle name="Énfasis2 5" xfId="437"/>
    <cellStyle name="Énfasis2 6" xfId="438"/>
    <cellStyle name="Énfasis2 7" xfId="439"/>
    <cellStyle name="Énfasis2 8" xfId="440"/>
    <cellStyle name="Énfasis2 9" xfId="441"/>
    <cellStyle name="Énfasis3 10" xfId="442"/>
    <cellStyle name="Énfasis3 11" xfId="443"/>
    <cellStyle name="Énfasis3 12" xfId="444"/>
    <cellStyle name="Énfasis3 13" xfId="445"/>
    <cellStyle name="Énfasis3 14" xfId="446"/>
    <cellStyle name="Énfasis3 15" xfId="447"/>
    <cellStyle name="Énfasis3 16" xfId="448"/>
    <cellStyle name="Énfasis3 17" xfId="449"/>
    <cellStyle name="Énfasis3 18" xfId="450"/>
    <cellStyle name="Énfasis3 2" xfId="451"/>
    <cellStyle name="Énfasis3 3" xfId="452"/>
    <cellStyle name="Énfasis3 4" xfId="453"/>
    <cellStyle name="Énfasis3 5" xfId="454"/>
    <cellStyle name="Énfasis3 6" xfId="455"/>
    <cellStyle name="Énfasis3 7" xfId="456"/>
    <cellStyle name="Énfasis3 8" xfId="457"/>
    <cellStyle name="Énfasis3 9" xfId="458"/>
    <cellStyle name="Énfasis4 10" xfId="459"/>
    <cellStyle name="Énfasis4 11" xfId="460"/>
    <cellStyle name="Énfasis4 12" xfId="461"/>
    <cellStyle name="Énfasis4 13" xfId="462"/>
    <cellStyle name="Énfasis4 14" xfId="463"/>
    <cellStyle name="Énfasis4 15" xfId="464"/>
    <cellStyle name="Énfasis4 16" xfId="465"/>
    <cellStyle name="Énfasis4 17" xfId="466"/>
    <cellStyle name="Énfasis4 18" xfId="467"/>
    <cellStyle name="Énfasis4 2" xfId="468"/>
    <cellStyle name="Énfasis4 3" xfId="469"/>
    <cellStyle name="Énfasis4 4" xfId="470"/>
    <cellStyle name="Énfasis4 5" xfId="471"/>
    <cellStyle name="Énfasis4 6" xfId="472"/>
    <cellStyle name="Énfasis4 7" xfId="473"/>
    <cellStyle name="Énfasis4 8" xfId="474"/>
    <cellStyle name="Énfasis4 9" xfId="475"/>
    <cellStyle name="Énfasis5 10" xfId="476"/>
    <cellStyle name="Énfasis5 11" xfId="477"/>
    <cellStyle name="Énfasis5 12" xfId="478"/>
    <cellStyle name="Énfasis5 13" xfId="479"/>
    <cellStyle name="Énfasis5 14" xfId="480"/>
    <cellStyle name="Énfasis5 15" xfId="481"/>
    <cellStyle name="Énfasis5 16" xfId="482"/>
    <cellStyle name="Énfasis5 17" xfId="483"/>
    <cellStyle name="Énfasis5 18" xfId="484"/>
    <cellStyle name="Énfasis5 2" xfId="485"/>
    <cellStyle name="Énfasis5 3" xfId="486"/>
    <cellStyle name="Énfasis5 4" xfId="487"/>
    <cellStyle name="Énfasis5 5" xfId="488"/>
    <cellStyle name="Énfasis5 6" xfId="489"/>
    <cellStyle name="Énfasis5 7" xfId="490"/>
    <cellStyle name="Énfasis5 8" xfId="491"/>
    <cellStyle name="Énfasis5 9" xfId="492"/>
    <cellStyle name="Énfasis6 10" xfId="493"/>
    <cellStyle name="Énfasis6 11" xfId="494"/>
    <cellStyle name="Énfasis6 12" xfId="495"/>
    <cellStyle name="Énfasis6 13" xfId="496"/>
    <cellStyle name="Énfasis6 14" xfId="497"/>
    <cellStyle name="Énfasis6 15" xfId="498"/>
    <cellStyle name="Énfasis6 16" xfId="499"/>
    <cellStyle name="Énfasis6 17" xfId="500"/>
    <cellStyle name="Énfasis6 18" xfId="501"/>
    <cellStyle name="Énfasis6 2" xfId="502"/>
    <cellStyle name="Énfasis6 3" xfId="503"/>
    <cellStyle name="Énfasis6 4" xfId="504"/>
    <cellStyle name="Énfasis6 5" xfId="505"/>
    <cellStyle name="Énfasis6 6" xfId="506"/>
    <cellStyle name="Énfasis6 7" xfId="507"/>
    <cellStyle name="Énfasis6 8" xfId="508"/>
    <cellStyle name="Énfasis6 9" xfId="509"/>
    <cellStyle name="Entrada 10" xfId="510"/>
    <cellStyle name="Entrada 11" xfId="511"/>
    <cellStyle name="Entrada 12" xfId="512"/>
    <cellStyle name="Entrada 13" xfId="513"/>
    <cellStyle name="Entrada 14" xfId="514"/>
    <cellStyle name="Entrada 15" xfId="515"/>
    <cellStyle name="Entrada 16" xfId="516"/>
    <cellStyle name="Entrada 17" xfId="517"/>
    <cellStyle name="Entrada 18" xfId="518"/>
    <cellStyle name="Entrada 2" xfId="519"/>
    <cellStyle name="Entrada 3" xfId="520"/>
    <cellStyle name="Entrada 4" xfId="521"/>
    <cellStyle name="Entrada 5" xfId="522"/>
    <cellStyle name="Entrada 6" xfId="523"/>
    <cellStyle name="Entrada 7" xfId="524"/>
    <cellStyle name="Entrada 8" xfId="525"/>
    <cellStyle name="Entrada 9" xfId="526"/>
    <cellStyle name="Euro" xfId="527"/>
    <cellStyle name="Euro 2" xfId="528"/>
    <cellStyle name="Euro 3" xfId="529"/>
    <cellStyle name="Euro 4" xfId="530"/>
    <cellStyle name="Euro 5" xfId="531"/>
    <cellStyle name="Euro 6" xfId="532"/>
    <cellStyle name="Euro 7" xfId="533"/>
    <cellStyle name="Hipervínculo" xfId="6" builtinId="8"/>
    <cellStyle name="Hipervínculo 2" xfId="534"/>
    <cellStyle name="Hipervínculo 3" xfId="535"/>
    <cellStyle name="Hipervínculo 4" xfId="536"/>
    <cellStyle name="Incorrecto 10" xfId="537"/>
    <cellStyle name="Incorrecto 11" xfId="538"/>
    <cellStyle name="Incorrecto 12" xfId="539"/>
    <cellStyle name="Incorrecto 13" xfId="540"/>
    <cellStyle name="Incorrecto 14" xfId="541"/>
    <cellStyle name="Incorrecto 15" xfId="542"/>
    <cellStyle name="Incorrecto 16" xfId="543"/>
    <cellStyle name="Incorrecto 17" xfId="544"/>
    <cellStyle name="Incorrecto 18" xfId="545"/>
    <cellStyle name="Incorrecto 2" xfId="546"/>
    <cellStyle name="Incorrecto 3" xfId="547"/>
    <cellStyle name="Incorrecto 4" xfId="548"/>
    <cellStyle name="Incorrecto 5" xfId="549"/>
    <cellStyle name="Incorrecto 6" xfId="550"/>
    <cellStyle name="Incorrecto 7" xfId="551"/>
    <cellStyle name="Incorrecto 8" xfId="552"/>
    <cellStyle name="Incorrecto 9" xfId="553"/>
    <cellStyle name="Millares" xfId="1" builtinId="3"/>
    <cellStyle name="Millares 2" xfId="5"/>
    <cellStyle name="Millares 2 2" xfId="13"/>
    <cellStyle name="Millares 2 3" xfId="554"/>
    <cellStyle name="Millares 2 4" xfId="8"/>
    <cellStyle name="Millares 3" xfId="555"/>
    <cellStyle name="Millares 3 2" xfId="556"/>
    <cellStyle name="Millares 4" xfId="557"/>
    <cellStyle name="Millares 5" xfId="558"/>
    <cellStyle name="Millares 6" xfId="559"/>
    <cellStyle name="Moneda 14" xfId="560"/>
    <cellStyle name="Moneda 2" xfId="12"/>
    <cellStyle name="Moneda 2 10" xfId="561"/>
    <cellStyle name="Moneda 2 11" xfId="562"/>
    <cellStyle name="Moneda 2 12" xfId="563"/>
    <cellStyle name="Moneda 2 13" xfId="564"/>
    <cellStyle name="Moneda 2 14" xfId="565"/>
    <cellStyle name="Moneda 2 15" xfId="566"/>
    <cellStyle name="Moneda 2 16" xfId="567"/>
    <cellStyle name="Moneda 2 17" xfId="568"/>
    <cellStyle name="Moneda 2 18" xfId="569"/>
    <cellStyle name="Moneda 2 19" xfId="570"/>
    <cellStyle name="Moneda 2 2" xfId="571"/>
    <cellStyle name="Moneda 2 20" xfId="572"/>
    <cellStyle name="Moneda 2 3" xfId="573"/>
    <cellStyle name="Moneda 2 4" xfId="574"/>
    <cellStyle name="Moneda 2 5" xfId="575"/>
    <cellStyle name="Moneda 2 6" xfId="576"/>
    <cellStyle name="Moneda 2 7" xfId="577"/>
    <cellStyle name="Moneda 2 8" xfId="578"/>
    <cellStyle name="Moneda 2 9" xfId="579"/>
    <cellStyle name="Moneda 3" xfId="580"/>
    <cellStyle name="Moneda 4" xfId="581"/>
    <cellStyle name="Moneda 5" xfId="582"/>
    <cellStyle name="Moneda 6" xfId="583"/>
    <cellStyle name="Moneda 7" xfId="584"/>
    <cellStyle name="Moneda 8" xfId="585"/>
    <cellStyle name="Moneda 9" xfId="586"/>
    <cellStyle name="Moneda 9 2" xfId="587"/>
    <cellStyle name="Neutral 10" xfId="588"/>
    <cellStyle name="Neutral 11" xfId="589"/>
    <cellStyle name="Neutral 12" xfId="590"/>
    <cellStyle name="Neutral 13" xfId="591"/>
    <cellStyle name="Neutral 14" xfId="592"/>
    <cellStyle name="Neutral 15" xfId="593"/>
    <cellStyle name="Neutral 16" xfId="594"/>
    <cellStyle name="Neutral 17" xfId="595"/>
    <cellStyle name="Neutral 18" xfId="596"/>
    <cellStyle name="Neutral 2" xfId="597"/>
    <cellStyle name="Neutral 3" xfId="598"/>
    <cellStyle name="Neutral 4" xfId="599"/>
    <cellStyle name="Neutral 5" xfId="600"/>
    <cellStyle name="Neutral 6" xfId="601"/>
    <cellStyle name="Neutral 7" xfId="602"/>
    <cellStyle name="Neutral 8" xfId="603"/>
    <cellStyle name="Neutral 9" xfId="604"/>
    <cellStyle name="Normal" xfId="0" builtinId="0"/>
    <cellStyle name="Normal 10" xfId="605"/>
    <cellStyle name="Normal 11" xfId="606"/>
    <cellStyle name="Normal 12" xfId="607"/>
    <cellStyle name="Normal 12 2" xfId="608"/>
    <cellStyle name="Normal 13" xfId="609"/>
    <cellStyle name="Normal 14" xfId="610"/>
    <cellStyle name="Normal 15" xfId="611"/>
    <cellStyle name="Normal 16" xfId="15"/>
    <cellStyle name="Normal 16 2" xfId="612"/>
    <cellStyle name="Normal 17" xfId="613"/>
    <cellStyle name="Normal 18" xfId="614"/>
    <cellStyle name="Normal 19" xfId="14"/>
    <cellStyle name="Normal 2" xfId="2"/>
    <cellStyle name="Normal 2 10" xfId="7"/>
    <cellStyle name="Normal 2 2" xfId="10"/>
    <cellStyle name="Normal 2 3" xfId="615"/>
    <cellStyle name="Normal 2 4" xfId="616"/>
    <cellStyle name="Normal 2 5" xfId="617"/>
    <cellStyle name="Normal 2 6" xfId="618"/>
    <cellStyle name="Normal 2 7" xfId="619"/>
    <cellStyle name="Normal 2 8" xfId="16"/>
    <cellStyle name="Normal 2 9" xfId="620"/>
    <cellStyle name="Normal 20" xfId="795"/>
    <cellStyle name="Normal 3" xfId="621"/>
    <cellStyle name="Normal 3 2" xfId="622"/>
    <cellStyle name="Normal 4" xfId="623"/>
    <cellStyle name="Normal 5" xfId="624"/>
    <cellStyle name="Normal 6" xfId="625"/>
    <cellStyle name="Normal 7" xfId="626"/>
    <cellStyle name="Normal 8" xfId="627"/>
    <cellStyle name="Normal 9" xfId="4"/>
    <cellStyle name="Notas 10" xfId="628"/>
    <cellStyle name="Notas 11" xfId="629"/>
    <cellStyle name="Notas 12" xfId="630"/>
    <cellStyle name="Notas 13" xfId="631"/>
    <cellStyle name="Notas 14" xfId="632"/>
    <cellStyle name="Notas 15" xfId="633"/>
    <cellStyle name="Notas 16" xfId="634"/>
    <cellStyle name="Notas 17" xfId="635"/>
    <cellStyle name="Notas 18" xfId="636"/>
    <cellStyle name="Notas 2" xfId="637"/>
    <cellStyle name="Notas 3" xfId="638"/>
    <cellStyle name="Notas 4" xfId="639"/>
    <cellStyle name="Notas 5" xfId="640"/>
    <cellStyle name="Notas 6" xfId="641"/>
    <cellStyle name="Notas 7" xfId="642"/>
    <cellStyle name="Notas 8" xfId="643"/>
    <cellStyle name="Notas 9" xfId="644"/>
    <cellStyle name="Porcentaje 2" xfId="9"/>
    <cellStyle name="Porcentaje 3" xfId="645"/>
    <cellStyle name="Porcentaje 4" xfId="646"/>
    <cellStyle name="Porcentual 2" xfId="647"/>
    <cellStyle name="Porcentual 2 2" xfId="648"/>
    <cellStyle name="Porcentual 3" xfId="649"/>
    <cellStyle name="Porcentual 4" xfId="650"/>
    <cellStyle name="Saldos" xfId="651"/>
    <cellStyle name="Saldos 2" xfId="652"/>
    <cellStyle name="Saldos 3" xfId="653"/>
    <cellStyle name="Saldos 4" xfId="654"/>
    <cellStyle name="Saldos 5" xfId="655"/>
    <cellStyle name="Saldos 6" xfId="656"/>
    <cellStyle name="Saldos 7" xfId="657"/>
    <cellStyle name="Saldos_GF ABRIL" xfId="658"/>
    <cellStyle name="Salida 10" xfId="659"/>
    <cellStyle name="Salida 11" xfId="660"/>
    <cellStyle name="Salida 12" xfId="661"/>
    <cellStyle name="Salida 13" xfId="662"/>
    <cellStyle name="Salida 14" xfId="663"/>
    <cellStyle name="Salida 15" xfId="664"/>
    <cellStyle name="Salida 16" xfId="665"/>
    <cellStyle name="Salida 17" xfId="666"/>
    <cellStyle name="Salida 18" xfId="667"/>
    <cellStyle name="Salida 2" xfId="668"/>
    <cellStyle name="Salida 3" xfId="669"/>
    <cellStyle name="Salida 4" xfId="670"/>
    <cellStyle name="Salida 5" xfId="671"/>
    <cellStyle name="Salida 6" xfId="672"/>
    <cellStyle name="Salida 7" xfId="673"/>
    <cellStyle name="Salida 8" xfId="674"/>
    <cellStyle name="Salida 9" xfId="675"/>
    <cellStyle name="Texto de advertencia 10" xfId="676"/>
    <cellStyle name="Texto de advertencia 11" xfId="677"/>
    <cellStyle name="Texto de advertencia 12" xfId="678"/>
    <cellStyle name="Texto de advertencia 13" xfId="679"/>
    <cellStyle name="Texto de advertencia 14" xfId="680"/>
    <cellStyle name="Texto de advertencia 15" xfId="681"/>
    <cellStyle name="Texto de advertencia 16" xfId="682"/>
    <cellStyle name="Texto de advertencia 17" xfId="683"/>
    <cellStyle name="Texto de advertencia 18" xfId="684"/>
    <cellStyle name="Texto de advertencia 2" xfId="685"/>
    <cellStyle name="Texto de advertencia 3" xfId="686"/>
    <cellStyle name="Texto de advertencia 4" xfId="687"/>
    <cellStyle name="Texto de advertencia 5" xfId="688"/>
    <cellStyle name="Texto de advertencia 6" xfId="689"/>
    <cellStyle name="Texto de advertencia 7" xfId="690"/>
    <cellStyle name="Texto de advertencia 8" xfId="691"/>
    <cellStyle name="Texto de advertencia 9" xfId="692"/>
    <cellStyle name="Texto explicativo 10" xfId="693"/>
    <cellStyle name="Texto explicativo 11" xfId="694"/>
    <cellStyle name="Texto explicativo 12" xfId="695"/>
    <cellStyle name="Texto explicativo 13" xfId="696"/>
    <cellStyle name="Texto explicativo 14" xfId="697"/>
    <cellStyle name="Texto explicativo 15" xfId="698"/>
    <cellStyle name="Texto explicativo 16" xfId="699"/>
    <cellStyle name="Texto explicativo 17" xfId="700"/>
    <cellStyle name="Texto explicativo 18" xfId="701"/>
    <cellStyle name="Texto explicativo 2" xfId="702"/>
    <cellStyle name="Texto explicativo 3" xfId="703"/>
    <cellStyle name="Texto explicativo 4" xfId="704"/>
    <cellStyle name="Texto explicativo 5" xfId="705"/>
    <cellStyle name="Texto explicativo 6" xfId="706"/>
    <cellStyle name="Texto explicativo 7" xfId="707"/>
    <cellStyle name="Texto explicativo 8" xfId="708"/>
    <cellStyle name="Texto explicativo 9" xfId="709"/>
    <cellStyle name="Título 1 10" xfId="710"/>
    <cellStyle name="Título 1 11" xfId="711"/>
    <cellStyle name="Título 1 12" xfId="712"/>
    <cellStyle name="Título 1 13" xfId="713"/>
    <cellStyle name="Título 1 14" xfId="714"/>
    <cellStyle name="Título 1 15" xfId="715"/>
    <cellStyle name="Título 1 16" xfId="716"/>
    <cellStyle name="Título 1 17" xfId="717"/>
    <cellStyle name="Título 1 18" xfId="718"/>
    <cellStyle name="Título 1 2" xfId="719"/>
    <cellStyle name="Título 1 3" xfId="720"/>
    <cellStyle name="Título 1 4" xfId="721"/>
    <cellStyle name="Título 1 5" xfId="722"/>
    <cellStyle name="Título 1 6" xfId="723"/>
    <cellStyle name="Título 1 7" xfId="724"/>
    <cellStyle name="Título 1 8" xfId="725"/>
    <cellStyle name="Título 1 9" xfId="726"/>
    <cellStyle name="Título 10" xfId="727"/>
    <cellStyle name="Título 11" xfId="728"/>
    <cellStyle name="Título 12" xfId="729"/>
    <cellStyle name="Título 13" xfId="730"/>
    <cellStyle name="Título 14" xfId="731"/>
    <cellStyle name="Título 15" xfId="732"/>
    <cellStyle name="Título 16" xfId="733"/>
    <cellStyle name="Título 17" xfId="734"/>
    <cellStyle name="Título 18" xfId="735"/>
    <cellStyle name="Título 19" xfId="736"/>
    <cellStyle name="Título 2 10" xfId="737"/>
    <cellStyle name="Título 2 11" xfId="738"/>
    <cellStyle name="Título 2 12" xfId="739"/>
    <cellStyle name="Título 2 13" xfId="740"/>
    <cellStyle name="Título 2 14" xfId="741"/>
    <cellStyle name="Título 2 15" xfId="742"/>
    <cellStyle name="Título 2 16" xfId="743"/>
    <cellStyle name="Título 2 17" xfId="744"/>
    <cellStyle name="Título 2 18" xfId="745"/>
    <cellStyle name="Título 2 2" xfId="746"/>
    <cellStyle name="Título 2 3" xfId="747"/>
    <cellStyle name="Título 2 4" xfId="748"/>
    <cellStyle name="Título 2 5" xfId="749"/>
    <cellStyle name="Título 2 6" xfId="750"/>
    <cellStyle name="Título 2 7" xfId="751"/>
    <cellStyle name="Título 2 8" xfId="752"/>
    <cellStyle name="Título 2 9" xfId="753"/>
    <cellStyle name="Título 20" xfId="754"/>
    <cellStyle name="Título 3 10" xfId="755"/>
    <cellStyle name="Título 3 11" xfId="756"/>
    <cellStyle name="Título 3 12" xfId="757"/>
    <cellStyle name="Título 3 13" xfId="758"/>
    <cellStyle name="Título 3 14" xfId="759"/>
    <cellStyle name="Título 3 15" xfId="760"/>
    <cellStyle name="Título 3 16" xfId="761"/>
    <cellStyle name="Título 3 17" xfId="762"/>
    <cellStyle name="Título 3 18" xfId="763"/>
    <cellStyle name="Título 3 2" xfId="764"/>
    <cellStyle name="Título 3 3" xfId="765"/>
    <cellStyle name="Título 3 4" xfId="766"/>
    <cellStyle name="Título 3 5" xfId="767"/>
    <cellStyle name="Título 3 6" xfId="768"/>
    <cellStyle name="Título 3 7" xfId="769"/>
    <cellStyle name="Título 3 8" xfId="770"/>
    <cellStyle name="Título 3 9" xfId="771"/>
    <cellStyle name="Título 4" xfId="772"/>
    <cellStyle name="Título 5" xfId="773"/>
    <cellStyle name="Título 6" xfId="774"/>
    <cellStyle name="Título 7" xfId="775"/>
    <cellStyle name="Título 8" xfId="776"/>
    <cellStyle name="Título 9" xfId="777"/>
    <cellStyle name="Total 10" xfId="778"/>
    <cellStyle name="Total 11" xfId="779"/>
    <cellStyle name="Total 12" xfId="780"/>
    <cellStyle name="Total 13" xfId="781"/>
    <cellStyle name="Total 14" xfId="782"/>
    <cellStyle name="Total 15" xfId="783"/>
    <cellStyle name="Total 16" xfId="784"/>
    <cellStyle name="Total 17" xfId="785"/>
    <cellStyle name="Total 18" xfId="786"/>
    <cellStyle name="Total 2" xfId="787"/>
    <cellStyle name="Total 3" xfId="788"/>
    <cellStyle name="Total 4" xfId="789"/>
    <cellStyle name="Total 5" xfId="790"/>
    <cellStyle name="Total 6" xfId="791"/>
    <cellStyle name="Total 7" xfId="792"/>
    <cellStyle name="Total 8" xfId="793"/>
    <cellStyle name="Total 9" xfId="79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1177145</xdr:colOff>
      <xdr:row>78</xdr:row>
      <xdr:rowOff>1</xdr:rowOff>
    </xdr:from>
    <xdr:to>
      <xdr:col>2</xdr:col>
      <xdr:colOff>1663459</xdr:colOff>
      <xdr:row>78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>
          <a:off x="1520045" y="14859001"/>
          <a:ext cx="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880243</xdr:colOff>
      <xdr:row>77</xdr:row>
      <xdr:rowOff>152400</xdr:rowOff>
    </xdr:from>
    <xdr:to>
      <xdr:col>5</xdr:col>
      <xdr:colOff>701604</xdr:colOff>
      <xdr:row>77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>
          <a:off x="3051943" y="14820900"/>
          <a:ext cx="14596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43</xdr:row>
      <xdr:rowOff>0</xdr:rowOff>
    </xdr:from>
    <xdr:to>
      <xdr:col>4</xdr:col>
      <xdr:colOff>1186132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>
          <a:off x="1809750" y="8763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arra\Downloads\Bal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786</v>
      </c>
    </row>
    <row r="2" spans="1:1" x14ac:dyDescent="0.25">
      <c r="A2" s="572">
        <v>42825</v>
      </c>
    </row>
    <row r="3" spans="1:1" x14ac:dyDescent="0.25">
      <c r="A3" s="572">
        <v>42916</v>
      </c>
    </row>
    <row r="4" spans="1:1" x14ac:dyDescent="0.25">
      <c r="A4" s="572">
        <v>43008</v>
      </c>
    </row>
    <row r="5" spans="1:1" x14ac:dyDescent="0.25">
      <c r="A5" s="572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  <pageSetUpPr fitToPage="1"/>
  </sheetPr>
  <dimension ref="B2:K18"/>
  <sheetViews>
    <sheetView showGridLines="0" view="pageBreakPreview" topLeftCell="D1" zoomScale="98" zoomScaleNormal="100" zoomScaleSheetLayoutView="98" workbookViewId="0">
      <selection activeCell="G13" sqref="G13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02" t="s">
        <v>377</v>
      </c>
      <c r="D2" s="602"/>
      <c r="E2" s="602"/>
      <c r="F2" s="602"/>
      <c r="G2" s="602"/>
      <c r="H2" s="602"/>
      <c r="I2" s="602"/>
      <c r="J2" s="281"/>
    </row>
    <row r="3" spans="2:11" s="2" customFormat="1" x14ac:dyDescent="0.2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 x14ac:dyDescent="0.2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  <c r="J7" s="604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1" t="s">
        <v>377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7</v>
      </c>
      <c r="D11" s="188">
        <v>-129632847.64</v>
      </c>
      <c r="E11" s="188">
        <v>107208976.33</v>
      </c>
      <c r="F11" s="188">
        <v>-1874575.07</v>
      </c>
      <c r="G11" s="188">
        <v>0</v>
      </c>
      <c r="H11" s="188">
        <v>0</v>
      </c>
      <c r="I11" s="188">
        <v>0</v>
      </c>
      <c r="J11" s="190">
        <v>24298446.379999999</v>
      </c>
      <c r="K11" s="18"/>
    </row>
    <row r="12" spans="2:11" x14ac:dyDescent="0.2">
      <c r="B12" s="193">
        <v>2</v>
      </c>
      <c r="C12" s="194" t="s">
        <v>8</v>
      </c>
      <c r="D12" s="188">
        <v>-572100.65</v>
      </c>
      <c r="E12" s="188">
        <v>5314187.4400000004</v>
      </c>
      <c r="F12" s="188">
        <v>-6915434.2999999998</v>
      </c>
      <c r="G12" s="188">
        <v>0</v>
      </c>
      <c r="H12" s="188">
        <v>0</v>
      </c>
      <c r="I12" s="188">
        <v>0</v>
      </c>
      <c r="J12" s="190">
        <v>2173347.5099999998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/>
      <c r="F13" s="188"/>
      <c r="G13" s="188"/>
      <c r="H13" s="188"/>
      <c r="I13" s="188"/>
      <c r="J13" s="190"/>
      <c r="K13" s="18"/>
    </row>
    <row r="14" spans="2:11" x14ac:dyDescent="0.2">
      <c r="B14" s="193">
        <v>4</v>
      </c>
      <c r="C14" s="194" t="s">
        <v>115</v>
      </c>
      <c r="D14" s="188"/>
      <c r="E14" s="188"/>
      <c r="F14" s="188"/>
      <c r="G14" s="188"/>
      <c r="H14" s="188"/>
      <c r="I14" s="188"/>
      <c r="J14" s="190"/>
      <c r="K14" s="18"/>
    </row>
    <row r="15" spans="2:11" x14ac:dyDescent="0.2">
      <c r="B15" s="195">
        <v>5</v>
      </c>
      <c r="C15" s="17" t="s">
        <v>126</v>
      </c>
      <c r="D15" s="191"/>
      <c r="E15" s="191"/>
      <c r="F15" s="191"/>
      <c r="G15" s="191"/>
      <c r="H15" s="191"/>
      <c r="I15" s="191"/>
      <c r="J15" s="192"/>
      <c r="K15" s="18"/>
    </row>
    <row r="16" spans="2:11" x14ac:dyDescent="0.2">
      <c r="D16" s="10">
        <f t="shared" ref="D16:J16" si="0">SUM(D11:D15)</f>
        <v>-130204948.29000001</v>
      </c>
      <c r="E16" s="10">
        <f t="shared" si="0"/>
        <v>112523163.77</v>
      </c>
      <c r="F16" s="10">
        <f t="shared" si="0"/>
        <v>-8790009.3699999992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26471793.890000001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algorithmName="SHA-512" hashValue="B2jPCwObY1gtkf8yU9koKFG8QG/xz4TEPy74SWeYflqSx9T9VXhnx5mXHSTYHJol0ie4/QoWGj63z/0XzZkI8A==" saltValue="bs+Y4fqVnMPriTYNmlQ+yw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02"/>
      <c r="C2" s="602"/>
      <c r="D2" s="602"/>
      <c r="E2" s="602"/>
      <c r="F2" s="602"/>
      <c r="G2" s="602"/>
      <c r="H2" s="602"/>
      <c r="I2" s="602"/>
    </row>
    <row r="3" spans="2:9" x14ac:dyDescent="0.2">
      <c r="B3" s="617" t="s">
        <v>250</v>
      </c>
      <c r="C3" s="617"/>
      <c r="D3" s="617"/>
      <c r="E3" s="617"/>
      <c r="F3" s="617"/>
      <c r="G3" s="617"/>
      <c r="H3" s="617"/>
      <c r="I3" s="617"/>
    </row>
    <row r="4" spans="2:9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</row>
    <row r="5" spans="2:9" x14ac:dyDescent="0.2">
      <c r="B5" s="352"/>
      <c r="C5" s="617" t="s">
        <v>92</v>
      </c>
      <c r="D5" s="617"/>
      <c r="E5" s="617"/>
      <c r="F5" s="617"/>
      <c r="G5" s="617"/>
      <c r="H5" s="617"/>
      <c r="I5" s="617"/>
    </row>
    <row r="6" spans="2:9" x14ac:dyDescent="0.2">
      <c r="B6" s="617"/>
      <c r="C6" s="617"/>
      <c r="D6" s="617"/>
      <c r="E6" s="617"/>
      <c r="F6" s="617"/>
      <c r="G6" s="617"/>
      <c r="H6" s="617"/>
      <c r="I6" s="617"/>
    </row>
    <row r="7" spans="2:9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</row>
    <row r="8" spans="2:9" s="21" customFormat="1" x14ac:dyDescent="0.2"/>
    <row r="9" spans="2:9" x14ac:dyDescent="0.2">
      <c r="B9" s="650" t="s">
        <v>93</v>
      </c>
      <c r="C9" s="651"/>
      <c r="D9" s="656" t="s">
        <v>494</v>
      </c>
      <c r="E9" s="656"/>
      <c r="F9" s="656"/>
      <c r="G9" s="656"/>
      <c r="H9" s="656"/>
      <c r="I9" s="656" t="s">
        <v>645</v>
      </c>
    </row>
    <row r="10" spans="2:9" ht="24" x14ac:dyDescent="0.2">
      <c r="B10" s="652"/>
      <c r="C10" s="653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6"/>
    </row>
    <row r="11" spans="2:9" x14ac:dyDescent="0.2">
      <c r="B11" s="654"/>
      <c r="C11" s="655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62" t="s">
        <v>7</v>
      </c>
      <c r="D13" s="105">
        <f>-SCTG!D11</f>
        <v>129632847.64</v>
      </c>
      <c r="E13" s="105">
        <f>-SCTG!F11</f>
        <v>1874575.07</v>
      </c>
      <c r="F13" s="105">
        <f>+D13+E13</f>
        <v>131507422.70999999</v>
      </c>
      <c r="G13" s="105">
        <f>SCTG!H11+SCTG!I11+SCTG!J11</f>
        <v>24298446.379999999</v>
      </c>
      <c r="H13" s="105">
        <f>SCTG!J11</f>
        <v>24298446.379999999</v>
      </c>
      <c r="I13" s="105">
        <f>+F13-G13</f>
        <v>107208976.33</v>
      </c>
    </row>
    <row r="14" spans="2:9" x14ac:dyDescent="0.2">
      <c r="B14" s="128"/>
      <c r="C14" s="345"/>
      <c r="D14" s="396"/>
      <c r="E14" s="396"/>
      <c r="F14" s="396"/>
      <c r="G14" s="396"/>
      <c r="H14" s="396"/>
      <c r="I14" s="396"/>
    </row>
    <row r="15" spans="2:9" x14ac:dyDescent="0.2">
      <c r="B15" s="140"/>
      <c r="C15" s="362" t="s">
        <v>8</v>
      </c>
      <c r="D15" s="105">
        <f>-SCTG!D12</f>
        <v>572100.65</v>
      </c>
      <c r="E15" s="105">
        <f>-SCTG!F12</f>
        <v>6915434.2999999998</v>
      </c>
      <c r="F15" s="105">
        <f>+D15+E15</f>
        <v>7487534.9500000002</v>
      </c>
      <c r="G15" s="105">
        <f>SCTG!H12+SCTG!I12+SCTG!J12</f>
        <v>2173347.5099999998</v>
      </c>
      <c r="H15" s="105">
        <f>SCTG!J12</f>
        <v>2173347.5099999998</v>
      </c>
      <c r="I15" s="105">
        <f>+F15-G15</f>
        <v>5314187.4400000004</v>
      </c>
    </row>
    <row r="16" spans="2:9" x14ac:dyDescent="0.2">
      <c r="B16" s="128"/>
      <c r="C16" s="345"/>
      <c r="D16" s="396"/>
      <c r="E16" s="396"/>
      <c r="F16" s="396"/>
      <c r="G16" s="396"/>
      <c r="H16" s="396"/>
      <c r="I16" s="396"/>
    </row>
    <row r="17" spans="1:10" x14ac:dyDescent="0.2">
      <c r="B17" s="140"/>
      <c r="C17" s="362" t="s">
        <v>251</v>
      </c>
      <c r="D17" s="105">
        <f>-SCTG!D13</f>
        <v>0</v>
      </c>
      <c r="E17" s="105">
        <f>-SCTG!F13</f>
        <v>0</v>
      </c>
      <c r="F17" s="105">
        <f>+D17+E17</f>
        <v>0</v>
      </c>
      <c r="G17" s="105">
        <f>SCTG!H13+SCTG!I13+SCTG!J13</f>
        <v>0</v>
      </c>
      <c r="H17" s="105">
        <f>SCTG!J13</f>
        <v>0</v>
      </c>
      <c r="I17" s="105">
        <f>+F17-G17</f>
        <v>0</v>
      </c>
    </row>
    <row r="18" spans="1:10" x14ac:dyDescent="0.2">
      <c r="B18" s="140"/>
      <c r="C18" s="362"/>
      <c r="D18" s="105"/>
      <c r="E18" s="105"/>
      <c r="F18" s="105"/>
      <c r="G18" s="105"/>
      <c r="H18" s="105"/>
      <c r="I18" s="105"/>
    </row>
    <row r="19" spans="1:10" x14ac:dyDescent="0.2">
      <c r="B19" s="140"/>
      <c r="C19" s="362" t="s">
        <v>115</v>
      </c>
      <c r="D19" s="105">
        <f>-SCTG!D14</f>
        <v>0</v>
      </c>
      <c r="E19" s="105">
        <f>-SCTG!F14</f>
        <v>0</v>
      </c>
      <c r="F19" s="105">
        <f>+D19+E19</f>
        <v>0</v>
      </c>
      <c r="G19" s="105">
        <f>SCTG!H14+SCTG!I14+SCTG!J14</f>
        <v>0</v>
      </c>
      <c r="H19" s="105">
        <f>SCTG!J14</f>
        <v>0</v>
      </c>
      <c r="I19" s="105">
        <f>+F19-G19</f>
        <v>0</v>
      </c>
    </row>
    <row r="20" spans="1:10" x14ac:dyDescent="0.2">
      <c r="B20" s="140"/>
      <c r="C20" s="362"/>
      <c r="D20" s="105"/>
      <c r="E20" s="105"/>
      <c r="F20" s="105"/>
      <c r="G20" s="105"/>
      <c r="H20" s="105"/>
      <c r="I20" s="105"/>
    </row>
    <row r="21" spans="1:10" x14ac:dyDescent="0.2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97"/>
      <c r="E22" s="397"/>
      <c r="F22" s="397"/>
      <c r="G22" s="397"/>
      <c r="H22" s="397"/>
      <c r="I22" s="397"/>
    </row>
    <row r="23" spans="1:10" s="1" customFormat="1" x14ac:dyDescent="0.2">
      <c r="A23" s="124"/>
      <c r="B23" s="141"/>
      <c r="C23" s="142" t="s">
        <v>248</v>
      </c>
      <c r="D23" s="136">
        <f t="shared" ref="D23:I23" si="0">+D13+D15+D17+D19+D21</f>
        <v>130204948.29000001</v>
      </c>
      <c r="E23" s="136">
        <f t="shared" si="0"/>
        <v>8790009.3699999992</v>
      </c>
      <c r="F23" s="136">
        <f t="shared" si="0"/>
        <v>138994957.66</v>
      </c>
      <c r="G23" s="136">
        <f t="shared" si="0"/>
        <v>26471793.890000001</v>
      </c>
      <c r="H23" s="136">
        <f t="shared" si="0"/>
        <v>26471793.890000001</v>
      </c>
      <c r="I23" s="136">
        <f t="shared" si="0"/>
        <v>112523163.77</v>
      </c>
      <c r="J23" s="124"/>
    </row>
    <row r="24" spans="1:10" ht="52.5" hidden="1" customHeight="1" x14ac:dyDescent="0.2">
      <c r="B24" s="638" t="s">
        <v>249</v>
      </c>
      <c r="C24" s="639"/>
      <c r="D24" s="639"/>
      <c r="E24" s="639"/>
      <c r="F24" s="639"/>
      <c r="G24" s="639"/>
      <c r="H24" s="639"/>
      <c r="I24" s="639"/>
    </row>
    <row r="25" spans="1:10" x14ac:dyDescent="0.2">
      <c r="B25" s="613" t="s">
        <v>149</v>
      </c>
      <c r="C25" s="613"/>
      <c r="D25" s="613"/>
      <c r="E25" s="613"/>
      <c r="F25" s="613"/>
      <c r="G25" s="613"/>
      <c r="H25" s="613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x14ac:dyDescent="0.2">
      <c r="D29" s="143"/>
      <c r="E29" s="143"/>
      <c r="F29" s="144"/>
      <c r="G29" s="143"/>
      <c r="H29" s="143"/>
      <c r="I29" s="143"/>
    </row>
    <row r="30" spans="1:10" x14ac:dyDescent="0.2">
      <c r="D30" s="143"/>
      <c r="E30" s="143"/>
      <c r="F30" s="144"/>
      <c r="G30" s="143"/>
      <c r="H30" s="143"/>
      <c r="I30" s="143"/>
    </row>
    <row r="31" spans="1:10" x14ac:dyDescent="0.2">
      <c r="C31" s="1"/>
      <c r="D31" s="310"/>
      <c r="E31" s="310"/>
      <c r="F31" s="311"/>
      <c r="G31" s="310"/>
      <c r="H31" s="310"/>
      <c r="I31" s="310"/>
    </row>
    <row r="32" spans="1:10" x14ac:dyDescent="0.2">
      <c r="C32" s="307"/>
      <c r="D32" s="312"/>
      <c r="E32" s="310"/>
      <c r="F32" s="313"/>
      <c r="G32" s="312"/>
      <c r="H32" s="312"/>
      <c r="I32" s="312"/>
    </row>
    <row r="33" spans="3:9" ht="15" customHeight="1" x14ac:dyDescent="0.2">
      <c r="C33" s="609" t="str">
        <f>+ENTE!D10</f>
        <v xml:space="preserve">M. EN A.  GONZALO FERREIRA MARTÍNEZ </v>
      </c>
      <c r="D33" s="609"/>
      <c r="E33" s="310"/>
      <c r="F33" s="649" t="str">
        <f>+ENTE!D14</f>
        <v>C.P.  ELDA GRACIELA FLORES HERNÁNDEZ</v>
      </c>
      <c r="G33" s="649"/>
      <c r="H33" s="649"/>
      <c r="I33" s="649"/>
    </row>
    <row r="34" spans="3:9" ht="15" customHeight="1" x14ac:dyDescent="0.2">
      <c r="C34" s="610" t="str">
        <f>+ENTE!D12</f>
        <v>DIRECTOR DE ADMINISTRACIÓN  Y FINANZAS</v>
      </c>
      <c r="D34" s="610"/>
      <c r="E34" s="310"/>
      <c r="F34" s="648" t="str">
        <f>+ENTE!D16</f>
        <v>JEFA DEL DEPARTAMENTO DE ADMINISTRACIÓN FINANCIERA</v>
      </c>
      <c r="G34" s="648"/>
      <c r="H34" s="648"/>
      <c r="I34" s="648"/>
    </row>
    <row r="35" spans="3:9" x14ac:dyDescent="0.2">
      <c r="C35" s="1"/>
      <c r="D35" s="310"/>
      <c r="E35" s="310"/>
      <c r="F35" s="310"/>
      <c r="G35" s="310"/>
      <c r="H35" s="310"/>
      <c r="I35" s="311"/>
    </row>
  </sheetData>
  <sheetProtection algorithmName="SHA-512" hashValue="StoYbgp/dHyBo1oew3vE1KLp9fHLBa8rPk4XPnHnStCN86XZIUmEy9JyWpZf+xgHt6517hZiqDWU0w4r/KQWZg==" saltValue="Rad5rAdF4cLsN2geYYKmqg==" spinCount="100000" sheet="1" objects="1" scenarios="1"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4" tint="-0.249977111117893"/>
  </sheetPr>
  <dimension ref="B2:O141"/>
  <sheetViews>
    <sheetView showGridLines="0" view="pageBreakPreview" topLeftCell="E113" zoomScale="98" zoomScaleNormal="100" zoomScaleSheetLayoutView="98" workbookViewId="0">
      <selection activeCell="F36" sqref="F36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637" t="s">
        <v>380</v>
      </c>
      <c r="D2" s="637"/>
      <c r="E2" s="637"/>
      <c r="F2" s="637"/>
      <c r="G2" s="637"/>
      <c r="H2" s="637"/>
      <c r="I2" s="637"/>
      <c r="J2" s="281"/>
    </row>
    <row r="3" spans="2:11" s="2" customFormat="1" x14ac:dyDescent="0.2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 x14ac:dyDescent="0.2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57" t="str">
        <f>ENTE!D8</f>
        <v xml:space="preserve">UNIVERSIDAD TECNOLÓGICA DE SAN JUAN DEL RÍO </v>
      </c>
      <c r="D7" s="657"/>
      <c r="E7" s="657"/>
      <c r="F7" s="657"/>
      <c r="G7" s="657"/>
      <c r="H7" s="657"/>
      <c r="I7" s="657"/>
      <c r="J7" s="657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1" t="s">
        <v>380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 x14ac:dyDescent="0.2">
      <c r="B11" s="366"/>
      <c r="C11" s="122" t="s">
        <v>767</v>
      </c>
      <c r="D11" s="300"/>
      <c r="E11" s="300"/>
      <c r="F11" s="300"/>
      <c r="G11" s="300"/>
      <c r="H11" s="300"/>
      <c r="I11" s="300"/>
      <c r="J11" s="301"/>
      <c r="K11" s="367"/>
    </row>
    <row r="12" spans="2:11" x14ac:dyDescent="0.2">
      <c r="B12" s="193">
        <v>11</v>
      </c>
      <c r="C12" s="194" t="s">
        <v>253</v>
      </c>
      <c r="D12" s="188">
        <v>-52387512.649999999</v>
      </c>
      <c r="E12" s="188">
        <v>39839785.960000001</v>
      </c>
      <c r="F12" s="188">
        <v>-285130.08</v>
      </c>
      <c r="G12" s="188">
        <v>0</v>
      </c>
      <c r="H12" s="188">
        <v>0</v>
      </c>
      <c r="I12" s="188">
        <v>0</v>
      </c>
      <c r="J12" s="188">
        <v>12832856.92</v>
      </c>
      <c r="K12" s="19"/>
    </row>
    <row r="13" spans="2:11" x14ac:dyDescent="0.2">
      <c r="B13" s="193">
        <v>12</v>
      </c>
      <c r="C13" s="194" t="s">
        <v>254</v>
      </c>
      <c r="D13" s="188">
        <v>0</v>
      </c>
      <c r="E13" s="188">
        <v>0</v>
      </c>
      <c r="F13" s="188">
        <v>-23979</v>
      </c>
      <c r="G13" s="188">
        <v>0</v>
      </c>
      <c r="H13" s="188">
        <v>0</v>
      </c>
      <c r="I13" s="188">
        <v>0</v>
      </c>
      <c r="J13" s="188">
        <v>23979</v>
      </c>
      <c r="K13" s="19"/>
    </row>
    <row r="14" spans="2:11" x14ac:dyDescent="0.2">
      <c r="B14" s="193">
        <v>13</v>
      </c>
      <c r="C14" s="194" t="s">
        <v>255</v>
      </c>
      <c r="D14" s="188">
        <v>-17932659.41</v>
      </c>
      <c r="E14" s="188">
        <v>17078942.75</v>
      </c>
      <c r="F14" s="188">
        <v>-193337.06</v>
      </c>
      <c r="G14" s="188">
        <v>0</v>
      </c>
      <c r="H14" s="188">
        <v>0</v>
      </c>
      <c r="I14" s="188">
        <v>0</v>
      </c>
      <c r="J14" s="190">
        <v>660379.81000000006</v>
      </c>
      <c r="K14" s="19"/>
    </row>
    <row r="15" spans="2:11" x14ac:dyDescent="0.2">
      <c r="B15" s="193">
        <v>14</v>
      </c>
      <c r="C15" s="194" t="s">
        <v>256</v>
      </c>
      <c r="D15" s="188">
        <v>-11287720.57</v>
      </c>
      <c r="E15" s="188">
        <v>8478131.0299999993</v>
      </c>
      <c r="F15" s="188">
        <v>-402734.53</v>
      </c>
      <c r="G15" s="188">
        <v>0</v>
      </c>
      <c r="H15" s="188">
        <v>0</v>
      </c>
      <c r="I15" s="188">
        <v>0</v>
      </c>
      <c r="J15" s="190">
        <v>2406855.11</v>
      </c>
      <c r="K15" s="19"/>
    </row>
    <row r="16" spans="2:11" x14ac:dyDescent="0.2">
      <c r="B16" s="193">
        <v>15</v>
      </c>
      <c r="C16" s="194" t="s">
        <v>257</v>
      </c>
      <c r="D16" s="188">
        <v>-11926896.310000001</v>
      </c>
      <c r="E16" s="188">
        <v>10079792.869999999</v>
      </c>
      <c r="F16" s="188">
        <v>-435500.7</v>
      </c>
      <c r="G16" s="188">
        <v>0</v>
      </c>
      <c r="H16" s="188">
        <v>0</v>
      </c>
      <c r="I16" s="188">
        <v>0</v>
      </c>
      <c r="J16" s="190">
        <v>2282604.14</v>
      </c>
      <c r="K16" s="19"/>
    </row>
    <row r="17" spans="2:13" x14ac:dyDescent="0.2">
      <c r="B17" s="193">
        <v>16</v>
      </c>
      <c r="C17" s="194" t="s">
        <v>258</v>
      </c>
      <c r="D17" s="188">
        <v>-3135428.1</v>
      </c>
      <c r="E17" s="188">
        <v>3135428.1</v>
      </c>
      <c r="F17" s="188">
        <v>0</v>
      </c>
      <c r="G17" s="188"/>
      <c r="H17" s="188"/>
      <c r="I17" s="188"/>
      <c r="J17" s="190">
        <v>0</v>
      </c>
      <c r="K17" s="19"/>
    </row>
    <row r="18" spans="2:13" x14ac:dyDescent="0.2">
      <c r="B18" s="193">
        <v>17</v>
      </c>
      <c r="C18" s="194" t="s">
        <v>259</v>
      </c>
      <c r="D18" s="188">
        <v>-2704779</v>
      </c>
      <c r="E18" s="188">
        <v>2322863.89</v>
      </c>
      <c r="F18" s="188">
        <v>-1523.74</v>
      </c>
      <c r="G18" s="188">
        <v>0</v>
      </c>
      <c r="H18" s="188">
        <v>0</v>
      </c>
      <c r="I18" s="188">
        <v>0</v>
      </c>
      <c r="J18" s="190">
        <v>383438.85</v>
      </c>
      <c r="K18" s="19"/>
      <c r="L18" s="19"/>
      <c r="M18" s="19"/>
    </row>
    <row r="19" spans="2:13" x14ac:dyDescent="0.2">
      <c r="B19" s="193">
        <v>21</v>
      </c>
      <c r="C19" s="194" t="s">
        <v>260</v>
      </c>
      <c r="D19" s="188">
        <v>-957841.14</v>
      </c>
      <c r="E19" s="188">
        <v>796899.16</v>
      </c>
      <c r="F19" s="188">
        <v>-257487.16</v>
      </c>
      <c r="G19" s="188">
        <v>0</v>
      </c>
      <c r="H19" s="188">
        <v>0</v>
      </c>
      <c r="I19" s="188">
        <v>0</v>
      </c>
      <c r="J19" s="190">
        <v>418429.14</v>
      </c>
      <c r="K19" s="19"/>
    </row>
    <row r="20" spans="2:13" x14ac:dyDescent="0.2">
      <c r="B20" s="193">
        <v>22</v>
      </c>
      <c r="C20" s="194" t="s">
        <v>261</v>
      </c>
      <c r="D20" s="188">
        <v>-446930.67</v>
      </c>
      <c r="E20" s="188">
        <v>385732.27</v>
      </c>
      <c r="F20" s="188">
        <v>4382.41</v>
      </c>
      <c r="G20" s="188">
        <v>0</v>
      </c>
      <c r="H20" s="188">
        <v>0</v>
      </c>
      <c r="I20" s="188">
        <v>0</v>
      </c>
      <c r="J20" s="190">
        <v>56815.99</v>
      </c>
      <c r="K20" s="19"/>
    </row>
    <row r="21" spans="2:13" x14ac:dyDescent="0.2">
      <c r="B21" s="193">
        <v>23</v>
      </c>
      <c r="C21" s="194" t="s">
        <v>262</v>
      </c>
      <c r="D21" s="188">
        <v>0</v>
      </c>
      <c r="E21" s="188"/>
      <c r="F21" s="188">
        <v>0</v>
      </c>
      <c r="G21" s="188">
        <v>0</v>
      </c>
      <c r="H21" s="188">
        <v>0</v>
      </c>
      <c r="I21" s="188">
        <v>0</v>
      </c>
      <c r="J21" s="190">
        <v>0</v>
      </c>
      <c r="K21" s="19"/>
    </row>
    <row r="22" spans="2:13" x14ac:dyDescent="0.2">
      <c r="B22" s="193">
        <v>24</v>
      </c>
      <c r="C22" s="194" t="s">
        <v>263</v>
      </c>
      <c r="D22" s="188">
        <v>-767450.94</v>
      </c>
      <c r="E22" s="188">
        <v>723894.82</v>
      </c>
      <c r="F22" s="188">
        <v>-1582.99</v>
      </c>
      <c r="G22" s="188">
        <v>0</v>
      </c>
      <c r="H22" s="188">
        <v>0</v>
      </c>
      <c r="I22" s="188">
        <v>0</v>
      </c>
      <c r="J22" s="190">
        <v>45139.11</v>
      </c>
      <c r="K22" s="19"/>
    </row>
    <row r="23" spans="2:13" x14ac:dyDescent="0.2">
      <c r="B23" s="193">
        <v>25</v>
      </c>
      <c r="C23" s="194" t="s">
        <v>382</v>
      </c>
      <c r="D23" s="188">
        <v>-298576.82</v>
      </c>
      <c r="E23" s="188">
        <v>274055.37</v>
      </c>
      <c r="F23" s="188">
        <v>0</v>
      </c>
      <c r="G23" s="188">
        <v>0</v>
      </c>
      <c r="H23" s="188">
        <v>0</v>
      </c>
      <c r="I23" s="188">
        <v>0</v>
      </c>
      <c r="J23" s="190">
        <v>24521.45</v>
      </c>
      <c r="K23" s="19"/>
    </row>
    <row r="24" spans="2:13" x14ac:dyDescent="0.2">
      <c r="B24" s="193">
        <v>26</v>
      </c>
      <c r="C24" s="194" t="s">
        <v>265</v>
      </c>
      <c r="D24" s="188">
        <v>-1311802.6299999999</v>
      </c>
      <c r="E24" s="188">
        <v>1078032.8799999999</v>
      </c>
      <c r="F24" s="188">
        <v>0</v>
      </c>
      <c r="G24" s="188">
        <v>0</v>
      </c>
      <c r="H24" s="188">
        <v>0</v>
      </c>
      <c r="I24" s="188">
        <v>0</v>
      </c>
      <c r="J24" s="190">
        <v>233769.75</v>
      </c>
      <c r="K24" s="19"/>
    </row>
    <row r="25" spans="2:13" x14ac:dyDescent="0.2">
      <c r="B25" s="193">
        <v>27</v>
      </c>
      <c r="C25" s="194" t="s">
        <v>266</v>
      </c>
      <c r="D25" s="188">
        <v>-134646.32</v>
      </c>
      <c r="E25" s="188">
        <v>134048.32000000001</v>
      </c>
      <c r="F25" s="188">
        <v>0</v>
      </c>
      <c r="G25" s="188">
        <v>0</v>
      </c>
      <c r="H25" s="188">
        <v>0</v>
      </c>
      <c r="I25" s="188">
        <v>0</v>
      </c>
      <c r="J25" s="190">
        <v>598</v>
      </c>
      <c r="K25" s="19"/>
    </row>
    <row r="26" spans="2:13" x14ac:dyDescent="0.2">
      <c r="B26" s="193">
        <v>28</v>
      </c>
      <c r="C26" s="194" t="s">
        <v>383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90">
        <v>0</v>
      </c>
      <c r="K26" s="19"/>
    </row>
    <row r="27" spans="2:13" x14ac:dyDescent="0.2">
      <c r="B27" s="193">
        <v>29</v>
      </c>
      <c r="C27" s="194" t="s">
        <v>268</v>
      </c>
      <c r="D27" s="188">
        <v>-183183.64</v>
      </c>
      <c r="E27" s="188">
        <v>161639.14000000001</v>
      </c>
      <c r="F27" s="188">
        <v>-179118.24</v>
      </c>
      <c r="G27" s="188">
        <v>0</v>
      </c>
      <c r="H27" s="188">
        <v>0</v>
      </c>
      <c r="I27" s="188">
        <v>0</v>
      </c>
      <c r="J27" s="190">
        <v>200662.64</v>
      </c>
      <c r="K27" s="19"/>
      <c r="L27" s="19"/>
      <c r="M27" s="19"/>
    </row>
    <row r="28" spans="2:13" x14ac:dyDescent="0.2">
      <c r="B28" s="193">
        <v>31</v>
      </c>
      <c r="C28" s="194" t="s">
        <v>269</v>
      </c>
      <c r="D28" s="188">
        <v>-2496628.67</v>
      </c>
      <c r="E28" s="188">
        <v>1892322.79</v>
      </c>
      <c r="F28" s="188">
        <v>-42624.34</v>
      </c>
      <c r="G28" s="188">
        <v>0</v>
      </c>
      <c r="H28" s="188">
        <v>0</v>
      </c>
      <c r="I28" s="188">
        <v>0</v>
      </c>
      <c r="J28" s="190">
        <v>646930.21</v>
      </c>
      <c r="K28" s="19"/>
    </row>
    <row r="29" spans="2:13" x14ac:dyDescent="0.2">
      <c r="B29" s="193">
        <v>32</v>
      </c>
      <c r="C29" s="194" t="s">
        <v>270</v>
      </c>
      <c r="D29" s="188">
        <v>-843704.47</v>
      </c>
      <c r="E29" s="188">
        <v>1184457.99</v>
      </c>
      <c r="F29" s="188">
        <v>-371500</v>
      </c>
      <c r="G29" s="188">
        <v>0</v>
      </c>
      <c r="H29" s="188">
        <v>0</v>
      </c>
      <c r="I29" s="188">
        <v>0</v>
      </c>
      <c r="J29" s="190">
        <v>30746.48</v>
      </c>
      <c r="K29" s="19"/>
    </row>
    <row r="30" spans="2:13" x14ac:dyDescent="0.2">
      <c r="B30" s="193">
        <v>33</v>
      </c>
      <c r="C30" s="194" t="s">
        <v>384</v>
      </c>
      <c r="D30" s="188">
        <v>-10399653.880000001</v>
      </c>
      <c r="E30" s="188">
        <v>8165086.6699999999</v>
      </c>
      <c r="F30" s="188">
        <v>-296593.39</v>
      </c>
      <c r="G30" s="188">
        <v>0</v>
      </c>
      <c r="H30" s="188">
        <v>0</v>
      </c>
      <c r="I30" s="188">
        <v>0</v>
      </c>
      <c r="J30" s="190">
        <v>2531160.6</v>
      </c>
      <c r="K30" s="19"/>
    </row>
    <row r="31" spans="2:13" x14ac:dyDescent="0.2">
      <c r="B31" s="193">
        <v>34</v>
      </c>
      <c r="C31" s="194" t="s">
        <v>272</v>
      </c>
      <c r="D31" s="188">
        <v>-524288.56999999995</v>
      </c>
      <c r="E31" s="188">
        <v>489657.07</v>
      </c>
      <c r="F31" s="188">
        <v>-42799.85</v>
      </c>
      <c r="G31" s="188">
        <v>0</v>
      </c>
      <c r="H31" s="188">
        <v>0</v>
      </c>
      <c r="I31" s="188">
        <v>0</v>
      </c>
      <c r="J31" s="190">
        <v>77431.350000000006</v>
      </c>
      <c r="K31" s="19"/>
    </row>
    <row r="32" spans="2:13" x14ac:dyDescent="0.2">
      <c r="B32" s="193">
        <v>35</v>
      </c>
      <c r="C32" s="194" t="s">
        <v>273</v>
      </c>
      <c r="D32" s="188">
        <v>-2786801.52</v>
      </c>
      <c r="E32" s="188">
        <v>2535429.23</v>
      </c>
      <c r="F32" s="188">
        <v>-40136</v>
      </c>
      <c r="G32" s="188">
        <v>0</v>
      </c>
      <c r="H32" s="188">
        <v>0</v>
      </c>
      <c r="I32" s="188">
        <v>0</v>
      </c>
      <c r="J32" s="190">
        <v>291508.28999999998</v>
      </c>
      <c r="K32" s="19"/>
    </row>
    <row r="33" spans="2:15" x14ac:dyDescent="0.2">
      <c r="B33" s="193">
        <v>36</v>
      </c>
      <c r="C33" s="194" t="s">
        <v>385</v>
      </c>
      <c r="D33" s="188">
        <v>-167465</v>
      </c>
      <c r="E33" s="188">
        <v>167465</v>
      </c>
      <c r="F33" s="188">
        <v>0</v>
      </c>
      <c r="G33" s="188">
        <v>0</v>
      </c>
      <c r="H33" s="188">
        <v>0</v>
      </c>
      <c r="I33" s="188">
        <v>0</v>
      </c>
      <c r="J33" s="190">
        <v>0</v>
      </c>
      <c r="K33" s="19"/>
    </row>
    <row r="34" spans="2:15" x14ac:dyDescent="0.2">
      <c r="B34" s="193">
        <v>37</v>
      </c>
      <c r="C34" s="194" t="s">
        <v>275</v>
      </c>
      <c r="D34" s="188">
        <v>-1077607.19</v>
      </c>
      <c r="E34" s="188">
        <v>780828.61</v>
      </c>
      <c r="F34" s="188">
        <v>-45416.08</v>
      </c>
      <c r="G34" s="188">
        <v>0</v>
      </c>
      <c r="H34" s="188">
        <v>0</v>
      </c>
      <c r="I34" s="188">
        <v>0</v>
      </c>
      <c r="J34" s="190">
        <v>342194.66000000003</v>
      </c>
      <c r="K34" s="19"/>
    </row>
    <row r="35" spans="2:15" x14ac:dyDescent="0.2">
      <c r="B35" s="193">
        <v>38</v>
      </c>
      <c r="C35" s="194" t="s">
        <v>276</v>
      </c>
      <c r="D35" s="188">
        <v>-1591852.57</v>
      </c>
      <c r="E35" s="188">
        <v>1563875.32</v>
      </c>
      <c r="F35" s="188">
        <v>-25838.15</v>
      </c>
      <c r="G35" s="188">
        <v>0</v>
      </c>
      <c r="H35" s="188">
        <v>0</v>
      </c>
      <c r="I35" s="188">
        <v>0</v>
      </c>
      <c r="J35" s="190">
        <v>53815.3</v>
      </c>
      <c r="K35" s="19"/>
    </row>
    <row r="36" spans="2:15" x14ac:dyDescent="0.2">
      <c r="B36" s="193">
        <v>39</v>
      </c>
      <c r="C36" s="194" t="s">
        <v>17</v>
      </c>
      <c r="D36" s="188">
        <v>-2599812.5299999998</v>
      </c>
      <c r="E36" s="188">
        <v>2059300.91</v>
      </c>
      <c r="F36" s="188">
        <v>-15953.79</v>
      </c>
      <c r="G36" s="188">
        <v>0</v>
      </c>
      <c r="H36" s="188">
        <v>0</v>
      </c>
      <c r="I36" s="188">
        <v>0</v>
      </c>
      <c r="J36" s="190">
        <v>556465.31999999995</v>
      </c>
      <c r="K36" s="19"/>
      <c r="L36" s="19"/>
      <c r="M36" s="19"/>
      <c r="O36" s="19"/>
    </row>
    <row r="37" spans="2:15" x14ac:dyDescent="0.2">
      <c r="B37" s="193">
        <v>41</v>
      </c>
      <c r="C37" s="194" t="s">
        <v>108</v>
      </c>
      <c r="D37" s="188"/>
      <c r="E37" s="188"/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110</v>
      </c>
      <c r="D38" s="188"/>
      <c r="E38" s="188"/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112</v>
      </c>
      <c r="D39" s="188"/>
      <c r="E39" s="188"/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113</v>
      </c>
      <c r="D40" s="188">
        <v>-3022307</v>
      </c>
      <c r="E40" s="188">
        <v>3321470.18</v>
      </c>
      <c r="F40" s="188">
        <v>-587685.29</v>
      </c>
      <c r="G40" s="188">
        <v>0</v>
      </c>
      <c r="H40" s="188">
        <v>0</v>
      </c>
      <c r="I40" s="188">
        <v>0</v>
      </c>
      <c r="J40" s="190">
        <v>288522</v>
      </c>
      <c r="K40" s="19"/>
    </row>
    <row r="41" spans="2:15" x14ac:dyDescent="0.2">
      <c r="B41" s="193">
        <v>45</v>
      </c>
      <c r="C41" s="194" t="s">
        <v>115</v>
      </c>
      <c r="D41" s="188">
        <v>-647298</v>
      </c>
      <c r="E41" s="188">
        <v>559836</v>
      </c>
      <c r="F41" s="188"/>
      <c r="G41" s="188">
        <v>0</v>
      </c>
      <c r="H41" s="188">
        <v>0</v>
      </c>
      <c r="I41" s="188">
        <v>0</v>
      </c>
      <c r="J41" s="190">
        <v>87462</v>
      </c>
      <c r="K41" s="19"/>
    </row>
    <row r="42" spans="2:15" x14ac:dyDescent="0.2">
      <c r="B42" s="193">
        <v>46</v>
      </c>
      <c r="C42" s="194" t="s">
        <v>386</v>
      </c>
      <c r="D42" s="188"/>
      <c r="E42" s="188"/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119</v>
      </c>
      <c r="D43" s="188"/>
      <c r="E43" s="188"/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120</v>
      </c>
      <c r="D44" s="188"/>
      <c r="E44" s="188"/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122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279</v>
      </c>
      <c r="D46" s="188"/>
      <c r="E46" s="188">
        <v>2770841.32</v>
      </c>
      <c r="F46" s="188">
        <f>(-3179748.44+192143.16)</f>
        <v>-2987605.28</v>
      </c>
      <c r="G46" s="188"/>
      <c r="H46" s="188"/>
      <c r="I46" s="188"/>
      <c r="J46" s="190">
        <v>1408907.12</v>
      </c>
      <c r="K46" s="19"/>
    </row>
    <row r="47" spans="2:15" x14ac:dyDescent="0.2">
      <c r="B47" s="193">
        <v>52</v>
      </c>
      <c r="C47" s="194" t="s">
        <v>280</v>
      </c>
      <c r="D47" s="188"/>
      <c r="E47" s="188"/>
      <c r="F47" s="188"/>
      <c r="G47" s="188"/>
      <c r="H47" s="188"/>
      <c r="I47" s="188"/>
      <c r="J47" s="190"/>
      <c r="K47" s="19"/>
    </row>
    <row r="48" spans="2:15" x14ac:dyDescent="0.2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2" x14ac:dyDescent="0.2">
      <c r="B49" s="193">
        <v>54</v>
      </c>
      <c r="C49" s="194" t="s">
        <v>282</v>
      </c>
      <c r="D49" s="188"/>
      <c r="E49" s="188"/>
      <c r="F49" s="188"/>
      <c r="G49" s="188"/>
      <c r="H49" s="188"/>
      <c r="I49" s="188"/>
      <c r="J49" s="190"/>
      <c r="K49" s="19"/>
    </row>
    <row r="50" spans="2:12" x14ac:dyDescent="0.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387</v>
      </c>
      <c r="D51" s="188">
        <v>-572100.68999999994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90">
        <v>572100.65</v>
      </c>
      <c r="K51" s="19"/>
    </row>
    <row r="52" spans="2:12" x14ac:dyDescent="0.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286</v>
      </c>
      <c r="D53" s="188"/>
      <c r="E53" s="188">
        <v>51576.12</v>
      </c>
      <c r="F53" s="188">
        <v>-51576.11</v>
      </c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391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66"/>
      <c r="C75" s="122" t="s">
        <v>766</v>
      </c>
      <c r="D75" s="300"/>
      <c r="E75" s="300"/>
      <c r="F75" s="300"/>
      <c r="G75" s="300"/>
      <c r="H75" s="300"/>
      <c r="I75" s="300"/>
      <c r="J75" s="301"/>
      <c r="K75" s="367"/>
    </row>
    <row r="76" spans="2:13" x14ac:dyDescent="0.2">
      <c r="B76" s="193">
        <v>11</v>
      </c>
      <c r="C76" s="194" t="s">
        <v>253</v>
      </c>
      <c r="D76" s="188"/>
      <c r="E76" s="188"/>
      <c r="F76" s="188"/>
      <c r="G76" s="188"/>
      <c r="H76" s="188"/>
      <c r="I76" s="188"/>
      <c r="J76" s="190"/>
      <c r="K76" s="19"/>
    </row>
    <row r="77" spans="2:13" x14ac:dyDescent="0.2">
      <c r="B77" s="193">
        <v>12</v>
      </c>
      <c r="C77" s="194" t="s">
        <v>254</v>
      </c>
      <c r="D77" s="188"/>
      <c r="E77" s="188"/>
      <c r="F77" s="188"/>
      <c r="G77" s="188"/>
      <c r="H77" s="188"/>
      <c r="I77" s="188"/>
      <c r="J77" s="190"/>
      <c r="K77" s="19"/>
    </row>
    <row r="78" spans="2:13" x14ac:dyDescent="0.2">
      <c r="B78" s="193">
        <v>13</v>
      </c>
      <c r="C78" s="194" t="s">
        <v>255</v>
      </c>
      <c r="D78" s="188"/>
      <c r="E78" s="188"/>
      <c r="F78" s="188"/>
      <c r="G78" s="188"/>
      <c r="H78" s="188"/>
      <c r="I78" s="188"/>
      <c r="J78" s="190"/>
      <c r="K78" s="19"/>
    </row>
    <row r="79" spans="2:13" x14ac:dyDescent="0.2">
      <c r="B79" s="193">
        <v>14</v>
      </c>
      <c r="C79" s="194" t="s">
        <v>256</v>
      </c>
      <c r="D79" s="188"/>
      <c r="E79" s="188"/>
      <c r="F79" s="188"/>
      <c r="G79" s="188"/>
      <c r="H79" s="188"/>
      <c r="I79" s="188"/>
      <c r="J79" s="190"/>
      <c r="K79" s="19"/>
    </row>
    <row r="80" spans="2:13" x14ac:dyDescent="0.2">
      <c r="B80" s="193">
        <v>15</v>
      </c>
      <c r="C80" s="194" t="s">
        <v>257</v>
      </c>
      <c r="D80" s="188"/>
      <c r="E80" s="188"/>
      <c r="F80" s="188"/>
      <c r="G80" s="188"/>
      <c r="H80" s="188"/>
      <c r="I80" s="188"/>
      <c r="J80" s="190"/>
      <c r="K80" s="19"/>
    </row>
    <row r="81" spans="2:11" x14ac:dyDescent="0.2">
      <c r="B81" s="193">
        <v>16</v>
      </c>
      <c r="C81" s="194" t="s">
        <v>258</v>
      </c>
      <c r="D81" s="188"/>
      <c r="E81" s="188"/>
      <c r="F81" s="188"/>
      <c r="G81" s="188"/>
      <c r="H81" s="188"/>
      <c r="I81" s="188"/>
      <c r="J81" s="190"/>
      <c r="K81" s="19"/>
    </row>
    <row r="82" spans="2:11" x14ac:dyDescent="0.2">
      <c r="B82" s="193">
        <v>17</v>
      </c>
      <c r="C82" s="194" t="s">
        <v>259</v>
      </c>
      <c r="D82" s="188"/>
      <c r="E82" s="188"/>
      <c r="F82" s="188"/>
      <c r="G82" s="188"/>
      <c r="H82" s="188"/>
      <c r="I82" s="188"/>
      <c r="J82" s="190"/>
      <c r="K82" s="19"/>
    </row>
    <row r="83" spans="2:11" x14ac:dyDescent="0.2">
      <c r="B83" s="193">
        <v>21</v>
      </c>
      <c r="C83" s="194" t="s">
        <v>260</v>
      </c>
      <c r="D83" s="188"/>
      <c r="E83" s="188"/>
      <c r="F83" s="188"/>
      <c r="G83" s="188"/>
      <c r="H83" s="188"/>
      <c r="I83" s="188"/>
      <c r="J83" s="190"/>
      <c r="K83" s="19"/>
    </row>
    <row r="84" spans="2:11" x14ac:dyDescent="0.2">
      <c r="B84" s="193">
        <v>22</v>
      </c>
      <c r="C84" s="194" t="s">
        <v>261</v>
      </c>
      <c r="D84" s="188"/>
      <c r="E84" s="188"/>
      <c r="F84" s="188"/>
      <c r="G84" s="188"/>
      <c r="H84" s="188"/>
      <c r="I84" s="188"/>
      <c r="J84" s="190"/>
      <c r="K84" s="19"/>
    </row>
    <row r="85" spans="2:11" x14ac:dyDescent="0.2">
      <c r="B85" s="193">
        <v>23</v>
      </c>
      <c r="C85" s="194" t="s">
        <v>262</v>
      </c>
      <c r="D85" s="188"/>
      <c r="E85" s="188"/>
      <c r="F85" s="188"/>
      <c r="G85" s="188"/>
      <c r="H85" s="188"/>
      <c r="I85" s="188"/>
      <c r="J85" s="190"/>
      <c r="K85" s="19"/>
    </row>
    <row r="86" spans="2:11" x14ac:dyDescent="0.2">
      <c r="B86" s="193">
        <v>24</v>
      </c>
      <c r="C86" s="194" t="s">
        <v>263</v>
      </c>
      <c r="D86" s="188"/>
      <c r="E86" s="188"/>
      <c r="F86" s="188"/>
      <c r="G86" s="188"/>
      <c r="H86" s="188"/>
      <c r="I86" s="188"/>
      <c r="J86" s="190"/>
      <c r="K86" s="19"/>
    </row>
    <row r="87" spans="2:11" x14ac:dyDescent="0.2">
      <c r="B87" s="193">
        <v>25</v>
      </c>
      <c r="C87" s="194" t="s">
        <v>382</v>
      </c>
      <c r="D87" s="188"/>
      <c r="E87" s="188"/>
      <c r="F87" s="188"/>
      <c r="G87" s="188"/>
      <c r="H87" s="188"/>
      <c r="I87" s="188"/>
      <c r="J87" s="190"/>
      <c r="K87" s="19"/>
    </row>
    <row r="88" spans="2:11" x14ac:dyDescent="0.2">
      <c r="B88" s="193">
        <v>26</v>
      </c>
      <c r="C88" s="194" t="s">
        <v>265</v>
      </c>
      <c r="D88" s="188"/>
      <c r="E88" s="188"/>
      <c r="F88" s="188"/>
      <c r="G88" s="188"/>
      <c r="H88" s="188"/>
      <c r="I88" s="188"/>
      <c r="J88" s="190"/>
      <c r="K88" s="19"/>
    </row>
    <row r="89" spans="2:11" x14ac:dyDescent="0.2">
      <c r="B89" s="193">
        <v>27</v>
      </c>
      <c r="C89" s="194" t="s">
        <v>266</v>
      </c>
      <c r="D89" s="188"/>
      <c r="E89" s="188"/>
      <c r="F89" s="188"/>
      <c r="G89" s="188"/>
      <c r="H89" s="188"/>
      <c r="I89" s="188"/>
      <c r="J89" s="190"/>
      <c r="K89" s="19"/>
    </row>
    <row r="90" spans="2:11" x14ac:dyDescent="0.2">
      <c r="B90" s="193">
        <v>28</v>
      </c>
      <c r="C90" s="194" t="s">
        <v>383</v>
      </c>
      <c r="D90" s="188"/>
      <c r="E90" s="188"/>
      <c r="F90" s="188"/>
      <c r="G90" s="188"/>
      <c r="H90" s="188"/>
      <c r="I90" s="188"/>
      <c r="J90" s="190"/>
      <c r="K90" s="19"/>
    </row>
    <row r="91" spans="2:11" x14ac:dyDescent="0.2">
      <c r="B91" s="193">
        <v>29</v>
      </c>
      <c r="C91" s="194" t="s">
        <v>268</v>
      </c>
      <c r="D91" s="188"/>
      <c r="E91" s="188"/>
      <c r="F91" s="188"/>
      <c r="G91" s="188"/>
      <c r="H91" s="188"/>
      <c r="I91" s="188"/>
      <c r="J91" s="190"/>
      <c r="K91" s="19"/>
    </row>
    <row r="92" spans="2:11" x14ac:dyDescent="0.2">
      <c r="B92" s="193">
        <v>31</v>
      </c>
      <c r="C92" s="194" t="s">
        <v>269</v>
      </c>
      <c r="D92" s="188"/>
      <c r="E92" s="188"/>
      <c r="F92" s="188"/>
      <c r="G92" s="188"/>
      <c r="H92" s="188"/>
      <c r="I92" s="188"/>
      <c r="J92" s="190"/>
      <c r="K92" s="19"/>
    </row>
    <row r="93" spans="2:11" x14ac:dyDescent="0.2">
      <c r="B93" s="193">
        <v>32</v>
      </c>
      <c r="C93" s="194" t="s">
        <v>270</v>
      </c>
      <c r="D93" s="188"/>
      <c r="E93" s="188"/>
      <c r="F93" s="188"/>
      <c r="G93" s="188"/>
      <c r="H93" s="188"/>
      <c r="I93" s="188"/>
      <c r="J93" s="190"/>
      <c r="K93" s="19"/>
    </row>
    <row r="94" spans="2:11" x14ac:dyDescent="0.2">
      <c r="B94" s="193">
        <v>33</v>
      </c>
      <c r="C94" s="194" t="s">
        <v>384</v>
      </c>
      <c r="D94" s="188"/>
      <c r="E94" s="188"/>
      <c r="F94" s="188"/>
      <c r="G94" s="188"/>
      <c r="H94" s="188"/>
      <c r="I94" s="188"/>
      <c r="J94" s="190"/>
      <c r="K94" s="19"/>
    </row>
    <row r="95" spans="2:11" x14ac:dyDescent="0.2">
      <c r="B95" s="193">
        <v>34</v>
      </c>
      <c r="C95" s="194" t="s">
        <v>272</v>
      </c>
      <c r="D95" s="188"/>
      <c r="E95" s="188"/>
      <c r="F95" s="188"/>
      <c r="G95" s="188"/>
      <c r="H95" s="188"/>
      <c r="I95" s="188"/>
      <c r="J95" s="190"/>
      <c r="K95" s="19"/>
    </row>
    <row r="96" spans="2:11" x14ac:dyDescent="0.2">
      <c r="B96" s="193">
        <v>35</v>
      </c>
      <c r="C96" s="194" t="s">
        <v>273</v>
      </c>
      <c r="D96" s="188"/>
      <c r="E96" s="188"/>
      <c r="F96" s="188"/>
      <c r="G96" s="188"/>
      <c r="H96" s="188"/>
      <c r="I96" s="188"/>
      <c r="J96" s="190"/>
      <c r="K96" s="19"/>
    </row>
    <row r="97" spans="2:11" x14ac:dyDescent="0.2">
      <c r="B97" s="193">
        <v>36</v>
      </c>
      <c r="C97" s="194" t="s">
        <v>385</v>
      </c>
      <c r="D97" s="188"/>
      <c r="E97" s="188"/>
      <c r="F97" s="188"/>
      <c r="G97" s="188"/>
      <c r="H97" s="188"/>
      <c r="I97" s="188"/>
      <c r="J97" s="190"/>
      <c r="K97" s="19"/>
    </row>
    <row r="98" spans="2:11" x14ac:dyDescent="0.2">
      <c r="B98" s="193">
        <v>37</v>
      </c>
      <c r="C98" s="194" t="s">
        <v>275</v>
      </c>
      <c r="D98" s="188"/>
      <c r="E98" s="188"/>
      <c r="F98" s="188"/>
      <c r="G98" s="188"/>
      <c r="H98" s="188"/>
      <c r="I98" s="188"/>
      <c r="J98" s="190"/>
      <c r="K98" s="19"/>
    </row>
    <row r="99" spans="2:11" x14ac:dyDescent="0.2">
      <c r="B99" s="193">
        <v>38</v>
      </c>
      <c r="C99" s="194" t="s">
        <v>276</v>
      </c>
      <c r="D99" s="188"/>
      <c r="E99" s="188"/>
      <c r="F99" s="188"/>
      <c r="G99" s="188"/>
      <c r="H99" s="188"/>
      <c r="I99" s="188"/>
      <c r="J99" s="190"/>
      <c r="K99" s="19"/>
    </row>
    <row r="100" spans="2:11" x14ac:dyDescent="0.2">
      <c r="B100" s="193">
        <v>39</v>
      </c>
      <c r="C100" s="194" t="s">
        <v>17</v>
      </c>
      <c r="D100" s="188"/>
      <c r="E100" s="188"/>
      <c r="F100" s="188"/>
      <c r="G100" s="188"/>
      <c r="H100" s="188"/>
      <c r="I100" s="188"/>
      <c r="J100" s="190"/>
      <c r="K100" s="19"/>
    </row>
    <row r="101" spans="2:11" x14ac:dyDescent="0.2">
      <c r="B101" s="193">
        <v>41</v>
      </c>
      <c r="C101" s="194" t="s">
        <v>108</v>
      </c>
      <c r="D101" s="188"/>
      <c r="E101" s="188"/>
      <c r="F101" s="188"/>
      <c r="G101" s="188"/>
      <c r="H101" s="188"/>
      <c r="I101" s="188"/>
      <c r="J101" s="190"/>
      <c r="K101" s="19"/>
    </row>
    <row r="102" spans="2:11" x14ac:dyDescent="0.2">
      <c r="B102" s="193">
        <v>42</v>
      </c>
      <c r="C102" s="194" t="s">
        <v>110</v>
      </c>
      <c r="D102" s="188"/>
      <c r="E102" s="188"/>
      <c r="F102" s="188"/>
      <c r="G102" s="188"/>
      <c r="H102" s="188"/>
      <c r="I102" s="188"/>
      <c r="J102" s="190"/>
      <c r="K102" s="19"/>
    </row>
    <row r="103" spans="2:11" x14ac:dyDescent="0.2">
      <c r="B103" s="193">
        <v>43</v>
      </c>
      <c r="C103" s="194" t="s">
        <v>112</v>
      </c>
      <c r="D103" s="188"/>
      <c r="E103" s="188"/>
      <c r="F103" s="188"/>
      <c r="G103" s="188"/>
      <c r="H103" s="188"/>
      <c r="I103" s="188"/>
      <c r="J103" s="190"/>
      <c r="K103" s="19"/>
    </row>
    <row r="104" spans="2:11" x14ac:dyDescent="0.2">
      <c r="B104" s="193">
        <v>44</v>
      </c>
      <c r="C104" s="194" t="s">
        <v>113</v>
      </c>
      <c r="D104" s="188"/>
      <c r="E104" s="188"/>
      <c r="F104" s="188"/>
      <c r="G104" s="188"/>
      <c r="H104" s="188"/>
      <c r="I104" s="188"/>
      <c r="J104" s="190"/>
      <c r="K104" s="19"/>
    </row>
    <row r="105" spans="2:11" x14ac:dyDescent="0.2">
      <c r="B105" s="193">
        <v>45</v>
      </c>
      <c r="C105" s="194" t="s">
        <v>115</v>
      </c>
      <c r="D105" s="188"/>
      <c r="E105" s="188"/>
      <c r="F105" s="188"/>
      <c r="G105" s="188"/>
      <c r="H105" s="188"/>
      <c r="I105" s="188"/>
      <c r="J105" s="190"/>
      <c r="K105" s="19"/>
    </row>
    <row r="106" spans="2:11" x14ac:dyDescent="0.2">
      <c r="B106" s="193">
        <v>46</v>
      </c>
      <c r="C106" s="194" t="s">
        <v>386</v>
      </c>
      <c r="D106" s="188"/>
      <c r="E106" s="188"/>
      <c r="F106" s="188"/>
      <c r="G106" s="188"/>
      <c r="H106" s="188"/>
      <c r="I106" s="188"/>
      <c r="J106" s="190"/>
      <c r="K106" s="19"/>
    </row>
    <row r="107" spans="2:11" x14ac:dyDescent="0.2">
      <c r="B107" s="193">
        <v>47</v>
      </c>
      <c r="C107" s="194" t="s">
        <v>119</v>
      </c>
      <c r="D107" s="188"/>
      <c r="E107" s="188"/>
      <c r="F107" s="188"/>
      <c r="G107" s="188"/>
      <c r="H107" s="188"/>
      <c r="I107" s="188"/>
      <c r="J107" s="190"/>
      <c r="K107" s="19"/>
    </row>
    <row r="108" spans="2:11" x14ac:dyDescent="0.2">
      <c r="B108" s="193">
        <v>48</v>
      </c>
      <c r="C108" s="194" t="s">
        <v>120</v>
      </c>
      <c r="D108" s="188"/>
      <c r="E108" s="188"/>
      <c r="F108" s="188"/>
      <c r="G108" s="188"/>
      <c r="H108" s="188"/>
      <c r="I108" s="188"/>
      <c r="J108" s="190"/>
      <c r="K108" s="19"/>
    </row>
    <row r="109" spans="2:11" x14ac:dyDescent="0.2">
      <c r="B109" s="193">
        <v>49</v>
      </c>
      <c r="C109" s="194" t="s">
        <v>122</v>
      </c>
      <c r="D109" s="188"/>
      <c r="E109" s="188"/>
      <c r="F109" s="188"/>
      <c r="G109" s="188"/>
      <c r="H109" s="188"/>
      <c r="I109" s="188"/>
      <c r="J109" s="190"/>
      <c r="K109" s="19"/>
    </row>
    <row r="110" spans="2:11" x14ac:dyDescent="0.2">
      <c r="B110" s="193">
        <v>51</v>
      </c>
      <c r="C110" s="194" t="s">
        <v>279</v>
      </c>
      <c r="D110" s="188"/>
      <c r="E110" s="188"/>
      <c r="F110" s="188"/>
      <c r="G110" s="188"/>
      <c r="H110" s="188"/>
      <c r="I110" s="188"/>
      <c r="J110" s="190"/>
      <c r="K110" s="19"/>
    </row>
    <row r="111" spans="2:11" x14ac:dyDescent="0.2">
      <c r="B111" s="193">
        <v>52</v>
      </c>
      <c r="C111" s="194" t="s">
        <v>280</v>
      </c>
      <c r="D111" s="188"/>
      <c r="E111" s="188"/>
      <c r="F111" s="188"/>
      <c r="G111" s="188"/>
      <c r="H111" s="188"/>
      <c r="I111" s="188"/>
      <c r="J111" s="190"/>
      <c r="K111" s="19"/>
    </row>
    <row r="112" spans="2:11" x14ac:dyDescent="0.2">
      <c r="B112" s="193">
        <v>53</v>
      </c>
      <c r="C112" s="194" t="s">
        <v>281</v>
      </c>
      <c r="D112" s="188"/>
      <c r="E112" s="188"/>
      <c r="F112" s="188"/>
      <c r="G112" s="188"/>
      <c r="H112" s="188"/>
      <c r="I112" s="188"/>
      <c r="J112" s="190"/>
      <c r="K112" s="19"/>
    </row>
    <row r="113" spans="2:11" x14ac:dyDescent="0.2">
      <c r="B113" s="193">
        <v>54</v>
      </c>
      <c r="C113" s="194" t="s">
        <v>282</v>
      </c>
      <c r="D113" s="188"/>
      <c r="E113" s="188"/>
      <c r="F113" s="188"/>
      <c r="G113" s="188"/>
      <c r="H113" s="188"/>
      <c r="I113" s="188"/>
      <c r="J113" s="190"/>
      <c r="K113" s="19"/>
    </row>
    <row r="114" spans="2:11" x14ac:dyDescent="0.2">
      <c r="B114" s="193">
        <v>55</v>
      </c>
      <c r="C114" s="194" t="s">
        <v>283</v>
      </c>
      <c r="D114" s="188"/>
      <c r="E114" s="188"/>
      <c r="F114" s="188"/>
      <c r="G114" s="188"/>
      <c r="H114" s="188"/>
      <c r="I114" s="188"/>
      <c r="J114" s="190"/>
      <c r="K114" s="19"/>
    </row>
    <row r="115" spans="2:11" x14ac:dyDescent="0.2">
      <c r="B115" s="193">
        <v>56</v>
      </c>
      <c r="C115" s="194" t="s">
        <v>387</v>
      </c>
      <c r="D115" s="188"/>
      <c r="E115" s="188">
        <v>2491770</v>
      </c>
      <c r="F115" s="188">
        <v>-2506270</v>
      </c>
      <c r="G115" s="188"/>
      <c r="H115" s="188"/>
      <c r="I115" s="188"/>
      <c r="J115" s="190">
        <v>14500</v>
      </c>
      <c r="K115" s="19"/>
    </row>
    <row r="116" spans="2:11" x14ac:dyDescent="0.2">
      <c r="B116" s="193">
        <v>57</v>
      </c>
      <c r="C116" s="194" t="s">
        <v>285</v>
      </c>
      <c r="D116" s="188"/>
      <c r="E116" s="188"/>
      <c r="F116" s="188"/>
      <c r="G116" s="188"/>
      <c r="H116" s="188"/>
      <c r="I116" s="188"/>
      <c r="J116" s="190"/>
      <c r="K116" s="19"/>
    </row>
    <row r="117" spans="2:11" x14ac:dyDescent="0.2">
      <c r="B117" s="193">
        <v>58</v>
      </c>
      <c r="C117" s="194" t="s">
        <v>286</v>
      </c>
      <c r="D117" s="188"/>
      <c r="E117" s="188"/>
      <c r="F117" s="188"/>
      <c r="G117" s="188"/>
      <c r="H117" s="188"/>
      <c r="I117" s="188"/>
      <c r="J117" s="190"/>
      <c r="K117" s="19"/>
    </row>
    <row r="118" spans="2:11" x14ac:dyDescent="0.2">
      <c r="B118" s="193">
        <v>59</v>
      </c>
      <c r="C118" s="194" t="s">
        <v>185</v>
      </c>
      <c r="D118" s="188"/>
      <c r="E118" s="188"/>
      <c r="F118" s="188"/>
      <c r="G118" s="188"/>
      <c r="H118" s="188"/>
      <c r="I118" s="188"/>
      <c r="J118" s="190"/>
      <c r="K118" s="19"/>
    </row>
    <row r="119" spans="2:11" x14ac:dyDescent="0.2">
      <c r="B119" s="193">
        <v>61</v>
      </c>
      <c r="C119" s="194" t="s">
        <v>287</v>
      </c>
      <c r="D119" s="188"/>
      <c r="E119" s="188"/>
      <c r="F119" s="188"/>
      <c r="G119" s="188"/>
      <c r="H119" s="188"/>
      <c r="I119" s="188"/>
      <c r="J119" s="190"/>
      <c r="K119" s="19"/>
    </row>
    <row r="120" spans="2:11" x14ac:dyDescent="0.2">
      <c r="B120" s="193">
        <v>62</v>
      </c>
      <c r="C120" s="194" t="s">
        <v>288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x14ac:dyDescent="0.2">
      <c r="B121" s="193">
        <v>63</v>
      </c>
      <c r="C121" s="194" t="s">
        <v>289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x14ac:dyDescent="0.2">
      <c r="B122" s="193">
        <v>71</v>
      </c>
      <c r="C122" s="194" t="s">
        <v>388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x14ac:dyDescent="0.2">
      <c r="B123" s="193">
        <v>72</v>
      </c>
      <c r="C123" s="194" t="s">
        <v>292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x14ac:dyDescent="0.2">
      <c r="B124" s="193">
        <v>73</v>
      </c>
      <c r="C124" s="194" t="s">
        <v>293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x14ac:dyDescent="0.2">
      <c r="B125" s="193">
        <v>74</v>
      </c>
      <c r="C125" s="194" t="s">
        <v>294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x14ac:dyDescent="0.2">
      <c r="B126" s="193">
        <v>75</v>
      </c>
      <c r="C126" s="194" t="s">
        <v>389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x14ac:dyDescent="0.2">
      <c r="B127" s="193">
        <v>76</v>
      </c>
      <c r="C127" s="194" t="s">
        <v>296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x14ac:dyDescent="0.2">
      <c r="B128" s="193">
        <v>79</v>
      </c>
      <c r="C128" s="194" t="s">
        <v>390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x14ac:dyDescent="0.2">
      <c r="B129" s="193">
        <v>81</v>
      </c>
      <c r="C129" s="194" t="s">
        <v>126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x14ac:dyDescent="0.2">
      <c r="B130" s="193">
        <v>83</v>
      </c>
      <c r="C130" s="194" t="s">
        <v>128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x14ac:dyDescent="0.2">
      <c r="B131" s="193">
        <v>85</v>
      </c>
      <c r="C131" s="194" t="s">
        <v>130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x14ac:dyDescent="0.2">
      <c r="B132" s="193">
        <v>91</v>
      </c>
      <c r="C132" s="194" t="s">
        <v>299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x14ac:dyDescent="0.2">
      <c r="B133" s="193">
        <v>92</v>
      </c>
      <c r="C133" s="194" t="s">
        <v>133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x14ac:dyDescent="0.2">
      <c r="B134" s="193">
        <v>93</v>
      </c>
      <c r="C134" s="194" t="s">
        <v>134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x14ac:dyDescent="0.2">
      <c r="B135" s="193">
        <v>94</v>
      </c>
      <c r="C135" s="194" t="s">
        <v>135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x14ac:dyDescent="0.2">
      <c r="B136" s="193">
        <v>95</v>
      </c>
      <c r="C136" s="194" t="s">
        <v>136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x14ac:dyDescent="0.2">
      <c r="B137" s="193">
        <v>96</v>
      </c>
      <c r="C137" s="194" t="s">
        <v>137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x14ac:dyDescent="0.2">
      <c r="B138" s="195">
        <v>99</v>
      </c>
      <c r="C138" s="17" t="s">
        <v>391</v>
      </c>
      <c r="D138" s="191"/>
      <c r="E138" s="191"/>
      <c r="F138" s="191"/>
      <c r="G138" s="191"/>
      <c r="H138" s="191"/>
      <c r="I138" s="191"/>
      <c r="J138" s="192"/>
      <c r="K138" s="19"/>
    </row>
    <row r="139" spans="2:11" x14ac:dyDescent="0.2">
      <c r="D139" s="10">
        <f t="shared" ref="D139:J139" si="0">SUM(D12:D138)</f>
        <v>-130204948.28999995</v>
      </c>
      <c r="E139" s="10">
        <f t="shared" si="0"/>
        <v>112523163.76999997</v>
      </c>
      <c r="F139" s="10">
        <f t="shared" si="0"/>
        <v>-8790009.370000001</v>
      </c>
      <c r="G139" s="10">
        <f t="shared" si="0"/>
        <v>0</v>
      </c>
      <c r="H139" s="10">
        <f t="shared" si="0"/>
        <v>0</v>
      </c>
      <c r="I139" s="10">
        <f t="shared" si="0"/>
        <v>0</v>
      </c>
      <c r="J139" s="10">
        <f t="shared" si="0"/>
        <v>26471793.890000004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algorithmName="SHA-512" hashValue="g07OCPagVg6Q56VYF+EH7SSydo7Jcm9vRb1lPmASQip8bcahtGCIRymslvRpozcSX8JKrpPFaAn72MtZ7XNbiw==" saltValue="v228y2CZYYdE48l7eDJ58w==" spinCount="100000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showGridLines="0" view="pageBreakPreview" topLeftCell="A63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02"/>
      <c r="C2" s="602"/>
      <c r="D2" s="602"/>
      <c r="E2" s="602"/>
      <c r="F2" s="602"/>
      <c r="G2" s="602"/>
      <c r="H2" s="602"/>
      <c r="I2" s="602"/>
    </row>
    <row r="3" spans="2:9" ht="12" customHeight="1" x14ac:dyDescent="0.2">
      <c r="B3" s="617" t="s">
        <v>252</v>
      </c>
      <c r="C3" s="617"/>
      <c r="D3" s="617"/>
      <c r="E3" s="617"/>
      <c r="F3" s="617"/>
      <c r="G3" s="617"/>
      <c r="H3" s="617"/>
      <c r="I3" s="617"/>
    </row>
    <row r="4" spans="2:9" ht="12" customHeight="1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</row>
    <row r="5" spans="2:9" ht="12" customHeight="1" x14ac:dyDescent="0.2">
      <c r="B5" s="617" t="s">
        <v>92</v>
      </c>
      <c r="C5" s="617"/>
      <c r="D5" s="617"/>
      <c r="E5" s="617"/>
      <c r="F5" s="617"/>
      <c r="G5" s="617"/>
      <c r="H5" s="617"/>
      <c r="I5" s="617"/>
    </row>
    <row r="6" spans="2:9" s="21" customFormat="1" ht="12" customHeight="1" x14ac:dyDescent="0.2">
      <c r="B6" s="617"/>
      <c r="C6" s="617"/>
      <c r="D6" s="617"/>
      <c r="E6" s="617"/>
      <c r="F6" s="617"/>
      <c r="G6" s="617"/>
      <c r="H6" s="617"/>
      <c r="I6" s="617"/>
    </row>
    <row r="7" spans="2:9" s="21" customFormat="1" ht="12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</row>
    <row r="8" spans="2:9" s="21" customFormat="1" ht="12" customHeight="1" x14ac:dyDescent="0.2"/>
    <row r="9" spans="2:9" x14ac:dyDescent="0.2">
      <c r="B9" s="660" t="s">
        <v>93</v>
      </c>
      <c r="C9" s="660"/>
      <c r="D9" s="656" t="s">
        <v>494</v>
      </c>
      <c r="E9" s="656"/>
      <c r="F9" s="656"/>
      <c r="G9" s="656"/>
      <c r="H9" s="656"/>
      <c r="I9" s="656" t="s">
        <v>645</v>
      </c>
    </row>
    <row r="10" spans="2:9" ht="24" x14ac:dyDescent="0.2">
      <c r="B10" s="660"/>
      <c r="C10" s="660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656"/>
    </row>
    <row r="11" spans="2:9" ht="11.25" customHeight="1" x14ac:dyDescent="0.2">
      <c r="B11" s="660"/>
      <c r="C11" s="660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 x14ac:dyDescent="0.2">
      <c r="B12" s="658" t="s">
        <v>213</v>
      </c>
      <c r="C12" s="659"/>
      <c r="D12" s="360">
        <f>SUM(D13:D19)</f>
        <v>99374996.039999992</v>
      </c>
      <c r="E12" s="360">
        <f>SUM(E13:E19)</f>
        <v>1342205.11</v>
      </c>
      <c r="F12" s="360">
        <f t="shared" ref="F12:F43" si="0">+D12+E12</f>
        <v>100717201.14999999</v>
      </c>
      <c r="G12" s="360">
        <f>SUM(G13:G19)</f>
        <v>18590113.830000002</v>
      </c>
      <c r="H12" s="360">
        <f>SUM(H13:H19)</f>
        <v>18590113.830000002</v>
      </c>
      <c r="I12" s="360">
        <f t="shared" ref="I12:I43" si="1">+F12-G12</f>
        <v>82127087.319999993</v>
      </c>
    </row>
    <row r="13" spans="2:9" x14ac:dyDescent="0.2">
      <c r="B13" s="145"/>
      <c r="C13" s="146" t="s">
        <v>253</v>
      </c>
      <c r="D13" s="105">
        <f>-SCOG!D12+-SCOG!D76</f>
        <v>52387512.649999999</v>
      </c>
      <c r="E13" s="105">
        <f>-SCOG!F12+-SCOG!F76</f>
        <v>285130.08</v>
      </c>
      <c r="F13" s="105">
        <f t="shared" si="0"/>
        <v>52672642.729999997</v>
      </c>
      <c r="G13" s="105">
        <f>SCOG!H12+SCOG!H76+SCOG!I12+SCOG!I76+SCOG!J12+SCOG!J76</f>
        <v>12832856.92</v>
      </c>
      <c r="H13" s="105">
        <f>SCOG!J12+SCOG!J76</f>
        <v>12832856.92</v>
      </c>
      <c r="I13" s="105">
        <f t="shared" si="1"/>
        <v>39839785.809999995</v>
      </c>
    </row>
    <row r="14" spans="2:9" x14ac:dyDescent="0.2">
      <c r="B14" s="145"/>
      <c r="C14" s="146" t="s">
        <v>254</v>
      </c>
      <c r="D14" s="105">
        <f>-SCOG!D13+-SCOG!D77</f>
        <v>0</v>
      </c>
      <c r="E14" s="105">
        <f>-SCOG!F13+-SCOG!F77</f>
        <v>23979</v>
      </c>
      <c r="F14" s="105">
        <f t="shared" si="0"/>
        <v>23979</v>
      </c>
      <c r="G14" s="105">
        <f>SCOG!H13+SCOG!H77+SCOG!I13+SCOG!I77+SCOG!J13+SCOG!J77</f>
        <v>23979</v>
      </c>
      <c r="H14" s="105">
        <f>SCOG!J13+SCOG!J77</f>
        <v>23979</v>
      </c>
      <c r="I14" s="105">
        <f t="shared" si="1"/>
        <v>0</v>
      </c>
    </row>
    <row r="15" spans="2:9" x14ac:dyDescent="0.2">
      <c r="B15" s="145"/>
      <c r="C15" s="146" t="s">
        <v>255</v>
      </c>
      <c r="D15" s="105">
        <f>-SCOG!D14+-SCOG!D78</f>
        <v>17932659.41</v>
      </c>
      <c r="E15" s="105">
        <f>-SCOG!F14+-SCOG!F78</f>
        <v>193337.06</v>
      </c>
      <c r="F15" s="105">
        <f t="shared" si="0"/>
        <v>18125996.469999999</v>
      </c>
      <c r="G15" s="105">
        <f>SCOG!H14+SCOG!H78+SCOG!I14+SCOG!I78+SCOG!J14+SCOG!J78</f>
        <v>660379.81000000006</v>
      </c>
      <c r="H15" s="105">
        <f>SCOG!J14+SCOG!J78</f>
        <v>660379.81000000006</v>
      </c>
      <c r="I15" s="105">
        <f t="shared" si="1"/>
        <v>17465616.66</v>
      </c>
    </row>
    <row r="16" spans="2:9" x14ac:dyDescent="0.2">
      <c r="B16" s="145"/>
      <c r="C16" s="146" t="s">
        <v>256</v>
      </c>
      <c r="D16" s="105">
        <f>-SCOG!D15+-SCOG!D79</f>
        <v>11287720.57</v>
      </c>
      <c r="E16" s="105">
        <f>-SCOG!F15+-SCOG!F79</f>
        <v>402734.53</v>
      </c>
      <c r="F16" s="105">
        <f t="shared" si="0"/>
        <v>11690455.1</v>
      </c>
      <c r="G16" s="105">
        <f>SCOG!H15+SCOG!H79+SCOG!I15+SCOG!I79+SCOG!J15+SCOG!J79</f>
        <v>2406855.11</v>
      </c>
      <c r="H16" s="105">
        <f>SCOG!J15+SCOG!J79</f>
        <v>2406855.11</v>
      </c>
      <c r="I16" s="105">
        <f t="shared" si="1"/>
        <v>9283599.9900000002</v>
      </c>
    </row>
    <row r="17" spans="2:9" x14ac:dyDescent="0.2">
      <c r="B17" s="145"/>
      <c r="C17" s="146" t="s">
        <v>257</v>
      </c>
      <c r="D17" s="105">
        <f>-SCOG!D16+-SCOG!D80</f>
        <v>11926896.310000001</v>
      </c>
      <c r="E17" s="105">
        <f>-SCOG!F16+-SCOG!F80</f>
        <v>435500.7</v>
      </c>
      <c r="F17" s="105">
        <f t="shared" si="0"/>
        <v>12362397.01</v>
      </c>
      <c r="G17" s="105">
        <f>SCOG!H16+SCOG!H80+SCOG!I16+SCOG!I80+SCOG!J16+SCOG!J80</f>
        <v>2282604.14</v>
      </c>
      <c r="H17" s="105">
        <f>SCOG!J16+SCOG!J80</f>
        <v>2282604.14</v>
      </c>
      <c r="I17" s="105">
        <f t="shared" si="1"/>
        <v>10079792.869999999</v>
      </c>
    </row>
    <row r="18" spans="2:9" x14ac:dyDescent="0.2">
      <c r="B18" s="145"/>
      <c r="C18" s="146" t="s">
        <v>258</v>
      </c>
      <c r="D18" s="105">
        <f>-SCOG!D17+-SCOG!D81</f>
        <v>3135428.1</v>
      </c>
      <c r="E18" s="105">
        <f>-SCOG!F17+-SCOG!F81</f>
        <v>0</v>
      </c>
      <c r="F18" s="105">
        <f t="shared" si="0"/>
        <v>3135428.1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3135428.1</v>
      </c>
    </row>
    <row r="19" spans="2:9" x14ac:dyDescent="0.2">
      <c r="B19" s="145"/>
      <c r="C19" s="146" t="s">
        <v>259</v>
      </c>
      <c r="D19" s="105">
        <f>-SCOG!D18+-SCOG!D82</f>
        <v>2704779</v>
      </c>
      <c r="E19" s="105">
        <f>-SCOG!F18+-SCOG!F82</f>
        <v>1523.74</v>
      </c>
      <c r="F19" s="105">
        <f t="shared" si="0"/>
        <v>2706302.74</v>
      </c>
      <c r="G19" s="105">
        <f>SCOG!H18+SCOG!H82+SCOG!I18+SCOG!I82+SCOG!J18+SCOG!J82</f>
        <v>383438.85</v>
      </c>
      <c r="H19" s="105">
        <f>SCOG!J18+SCOG!J82</f>
        <v>383438.85</v>
      </c>
      <c r="I19" s="105">
        <f t="shared" si="1"/>
        <v>2322863.89</v>
      </c>
    </row>
    <row r="20" spans="2:9" x14ac:dyDescent="0.2">
      <c r="B20" s="658" t="s">
        <v>101</v>
      </c>
      <c r="C20" s="659"/>
      <c r="D20" s="360">
        <f>SUM(D21:D29)</f>
        <v>4100432.1599999997</v>
      </c>
      <c r="E20" s="360">
        <f>SUM(E21:E29)</f>
        <v>433805.98</v>
      </c>
      <c r="F20" s="360">
        <f t="shared" si="0"/>
        <v>4534238.1399999997</v>
      </c>
      <c r="G20" s="360">
        <f>SUM(G21:G29)</f>
        <v>979936.08</v>
      </c>
      <c r="H20" s="360">
        <f>SUM(H21:H29)</f>
        <v>979936.08</v>
      </c>
      <c r="I20" s="360">
        <f t="shared" si="1"/>
        <v>3554302.0599999996</v>
      </c>
    </row>
    <row r="21" spans="2:9" ht="24" x14ac:dyDescent="0.2">
      <c r="B21" s="145"/>
      <c r="C21" s="146" t="s">
        <v>260</v>
      </c>
      <c r="D21" s="105">
        <f>-SCOG!D19+-SCOG!D83</f>
        <v>957841.14</v>
      </c>
      <c r="E21" s="105">
        <f>-SCOG!F19+-SCOG!F83</f>
        <v>257487.16</v>
      </c>
      <c r="F21" s="105">
        <f t="shared" si="0"/>
        <v>1215328.3</v>
      </c>
      <c r="G21" s="105">
        <f>SCOG!H19+SCOG!H83+SCOG!I19+SCOG!I83+SCOG!J19+SCOG!J83</f>
        <v>418429.14</v>
      </c>
      <c r="H21" s="105">
        <f>SCOG!J19+SCOG!J83</f>
        <v>418429.14</v>
      </c>
      <c r="I21" s="105">
        <f t="shared" si="1"/>
        <v>796899.16</v>
      </c>
    </row>
    <row r="22" spans="2:9" x14ac:dyDescent="0.2">
      <c r="B22" s="145"/>
      <c r="C22" s="146" t="s">
        <v>261</v>
      </c>
      <c r="D22" s="105">
        <f>-SCOG!D20+-SCOG!D84</f>
        <v>446930.67</v>
      </c>
      <c r="E22" s="105">
        <f>-SCOG!F20+-SCOG!F84</f>
        <v>-4382.41</v>
      </c>
      <c r="F22" s="105">
        <f t="shared" si="0"/>
        <v>442548.26</v>
      </c>
      <c r="G22" s="105">
        <f>SCOG!H20+SCOG!H84+SCOG!I20+SCOG!I84+SCOG!J20+SCOG!J84</f>
        <v>56815.99</v>
      </c>
      <c r="H22" s="105">
        <f>SCOG!J20+SCOG!J84</f>
        <v>56815.99</v>
      </c>
      <c r="I22" s="105">
        <f t="shared" si="1"/>
        <v>385732.27</v>
      </c>
    </row>
    <row r="23" spans="2:9" x14ac:dyDescent="0.2">
      <c r="B23" s="145"/>
      <c r="C23" s="146" t="s">
        <v>262</v>
      </c>
      <c r="D23" s="105">
        <f>-SCOG!D21+-SCOG!D85</f>
        <v>0</v>
      </c>
      <c r="E23" s="105">
        <f>-SCOG!F21+-SCOG!F85</f>
        <v>0</v>
      </c>
      <c r="F23" s="105">
        <f t="shared" si="0"/>
        <v>0</v>
      </c>
      <c r="G23" s="105">
        <f>SCOG!H21+SCOG!H85+SCOG!I21+SCOG!I85+SCOG!J21+SCOG!J85</f>
        <v>0</v>
      </c>
      <c r="H23" s="105">
        <f>SCOG!J21+SCOG!J85</f>
        <v>0</v>
      </c>
      <c r="I23" s="105">
        <f t="shared" si="1"/>
        <v>0</v>
      </c>
    </row>
    <row r="24" spans="2:9" x14ac:dyDescent="0.2">
      <c r="B24" s="145"/>
      <c r="C24" s="146" t="s">
        <v>263</v>
      </c>
      <c r="D24" s="105">
        <f>-SCOG!D22+-SCOG!D86</f>
        <v>767450.94</v>
      </c>
      <c r="E24" s="105">
        <f>-SCOG!F22+-SCOG!F86</f>
        <v>1582.99</v>
      </c>
      <c r="F24" s="105">
        <f t="shared" si="0"/>
        <v>769033.92999999993</v>
      </c>
      <c r="G24" s="105">
        <f>SCOG!H22+SCOG!H86+SCOG!I22+SCOG!I86+SCOG!J22+SCOG!J86</f>
        <v>45139.11</v>
      </c>
      <c r="H24" s="105">
        <f>SCOG!J22+SCOG!J86</f>
        <v>45139.11</v>
      </c>
      <c r="I24" s="105">
        <f t="shared" si="1"/>
        <v>723894.82</v>
      </c>
    </row>
    <row r="25" spans="2:9" x14ac:dyDescent="0.2">
      <c r="B25" s="145"/>
      <c r="C25" s="146" t="s">
        <v>264</v>
      </c>
      <c r="D25" s="105">
        <f>-SCOG!D23+-SCOG!D87</f>
        <v>298576.82</v>
      </c>
      <c r="E25" s="105">
        <f>-SCOG!F23+-SCOG!F87</f>
        <v>0</v>
      </c>
      <c r="F25" s="105">
        <f t="shared" si="0"/>
        <v>298576.82</v>
      </c>
      <c r="G25" s="105">
        <f>SCOG!H23+SCOG!H87+SCOG!I23+SCOG!I87+SCOG!J23+SCOG!J87</f>
        <v>24521.45</v>
      </c>
      <c r="H25" s="105">
        <f>SCOG!J23+SCOG!J87</f>
        <v>24521.45</v>
      </c>
      <c r="I25" s="105">
        <f t="shared" si="1"/>
        <v>274055.37</v>
      </c>
    </row>
    <row r="26" spans="2:9" x14ac:dyDescent="0.2">
      <c r="B26" s="145"/>
      <c r="C26" s="146" t="s">
        <v>265</v>
      </c>
      <c r="D26" s="105">
        <f>-SCOG!D24+-SCOG!D88</f>
        <v>1311802.6299999999</v>
      </c>
      <c r="E26" s="105">
        <f>-SCOG!F24+-SCOG!F88</f>
        <v>0</v>
      </c>
      <c r="F26" s="105">
        <f t="shared" si="0"/>
        <v>1311802.6299999999</v>
      </c>
      <c r="G26" s="105">
        <f>SCOG!H24+SCOG!H88+SCOG!I24+SCOG!I88+SCOG!J24+SCOG!J88</f>
        <v>233769.75</v>
      </c>
      <c r="H26" s="105">
        <f>SCOG!J24+SCOG!J88</f>
        <v>233769.75</v>
      </c>
      <c r="I26" s="105">
        <f t="shared" si="1"/>
        <v>1078032.8799999999</v>
      </c>
    </row>
    <row r="27" spans="2:9" x14ac:dyDescent="0.2">
      <c r="B27" s="145"/>
      <c r="C27" s="146" t="s">
        <v>266</v>
      </c>
      <c r="D27" s="105">
        <f>-SCOG!D25+-SCOG!D89</f>
        <v>134646.32</v>
      </c>
      <c r="E27" s="105">
        <f>-SCOG!F25+-SCOG!F89</f>
        <v>0</v>
      </c>
      <c r="F27" s="105">
        <f t="shared" si="0"/>
        <v>134646.32</v>
      </c>
      <c r="G27" s="105">
        <f>SCOG!H25+SCOG!H89+SCOG!I25+SCOG!I89+SCOG!J25+SCOG!J89</f>
        <v>598</v>
      </c>
      <c r="H27" s="105">
        <f>SCOG!J25+SCOG!J89</f>
        <v>598</v>
      </c>
      <c r="I27" s="105">
        <f t="shared" si="1"/>
        <v>134048.32000000001</v>
      </c>
    </row>
    <row r="28" spans="2:9" x14ac:dyDescent="0.2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268</v>
      </c>
      <c r="D29" s="105">
        <f>-SCOG!D27+-SCOG!D91</f>
        <v>183183.64</v>
      </c>
      <c r="E29" s="105">
        <f>-SCOG!F27+-SCOG!F91</f>
        <v>179118.24</v>
      </c>
      <c r="F29" s="105">
        <f t="shared" si="0"/>
        <v>362301.88</v>
      </c>
      <c r="G29" s="105">
        <f>SCOG!H27+SCOG!H91+SCOG!I27+SCOG!I91+SCOG!J27+SCOG!J91</f>
        <v>200662.64</v>
      </c>
      <c r="H29" s="105">
        <f>SCOG!J27+SCOG!J91</f>
        <v>200662.64</v>
      </c>
      <c r="I29" s="105">
        <f t="shared" si="1"/>
        <v>161639.24</v>
      </c>
    </row>
    <row r="30" spans="2:9" x14ac:dyDescent="0.2">
      <c r="B30" s="658" t="s">
        <v>103</v>
      </c>
      <c r="C30" s="659"/>
      <c r="D30" s="360">
        <f>SUM(D31:D39)</f>
        <v>22487814.400000002</v>
      </c>
      <c r="E30" s="360">
        <f>SUM(E31:E39)</f>
        <v>880861.6</v>
      </c>
      <c r="F30" s="360">
        <f t="shared" si="0"/>
        <v>23368676.000000004</v>
      </c>
      <c r="G30" s="360">
        <f>SUM(G31:G39)</f>
        <v>4530252.21</v>
      </c>
      <c r="H30" s="360">
        <f>SUM(H31:H39)</f>
        <v>4530252.21</v>
      </c>
      <c r="I30" s="360">
        <f t="shared" si="1"/>
        <v>18838423.790000003</v>
      </c>
    </row>
    <row r="31" spans="2:9" x14ac:dyDescent="0.2">
      <c r="B31" s="145"/>
      <c r="C31" s="146" t="s">
        <v>269</v>
      </c>
      <c r="D31" s="105">
        <f>-SCOG!D28+-SCOG!D92</f>
        <v>2496628.67</v>
      </c>
      <c r="E31" s="105">
        <f>-SCOG!F28+-SCOG!F92</f>
        <v>42624.34</v>
      </c>
      <c r="F31" s="105">
        <f t="shared" si="0"/>
        <v>2539253.0099999998</v>
      </c>
      <c r="G31" s="105">
        <f>SCOG!H28+SCOG!H92+SCOG!I28+SCOG!I92+SCOG!J28+SCOG!J92</f>
        <v>646930.21</v>
      </c>
      <c r="H31" s="105">
        <f>SCOG!J28+SCOG!J92</f>
        <v>646930.21</v>
      </c>
      <c r="I31" s="105">
        <f t="shared" si="1"/>
        <v>1892322.7999999998</v>
      </c>
    </row>
    <row r="32" spans="2:9" x14ac:dyDescent="0.2">
      <c r="B32" s="145"/>
      <c r="C32" s="146" t="s">
        <v>270</v>
      </c>
      <c r="D32" s="105">
        <f>-SCOG!D29+-SCOG!D93</f>
        <v>843704.47</v>
      </c>
      <c r="E32" s="105">
        <f>-SCOG!F29+-SCOG!F93</f>
        <v>371500</v>
      </c>
      <c r="F32" s="105">
        <f t="shared" si="0"/>
        <v>1215204.47</v>
      </c>
      <c r="G32" s="105">
        <f>SCOG!H29+SCOG!H93+SCOG!I29+SCOG!I93+SCOG!J29+SCOG!J93</f>
        <v>30746.48</v>
      </c>
      <c r="H32" s="105">
        <f>SCOG!J29+SCOG!J93</f>
        <v>30746.48</v>
      </c>
      <c r="I32" s="105">
        <f t="shared" si="1"/>
        <v>1184457.99</v>
      </c>
    </row>
    <row r="33" spans="2:9" x14ac:dyDescent="0.2">
      <c r="B33" s="145"/>
      <c r="C33" s="146" t="s">
        <v>271</v>
      </c>
      <c r="D33" s="105">
        <f>-SCOG!D30+-SCOG!D94</f>
        <v>10399653.880000001</v>
      </c>
      <c r="E33" s="105">
        <f>-SCOG!F30+-SCOG!F94</f>
        <v>296593.39</v>
      </c>
      <c r="F33" s="105">
        <f t="shared" si="0"/>
        <v>10696247.270000001</v>
      </c>
      <c r="G33" s="105">
        <f>SCOG!H30+SCOG!H94+SCOG!I30+SCOG!I94+SCOG!J30+SCOG!J94</f>
        <v>2531160.6</v>
      </c>
      <c r="H33" s="105">
        <f>SCOG!J30+SCOG!J94</f>
        <v>2531160.6</v>
      </c>
      <c r="I33" s="105">
        <f t="shared" si="1"/>
        <v>8165086.6700000018</v>
      </c>
    </row>
    <row r="34" spans="2:9" x14ac:dyDescent="0.2">
      <c r="B34" s="145"/>
      <c r="C34" s="146" t="s">
        <v>272</v>
      </c>
      <c r="D34" s="105">
        <f>-SCOG!D31+-SCOG!D95</f>
        <v>524288.56999999995</v>
      </c>
      <c r="E34" s="105">
        <f>-SCOG!F31+-SCOG!F95</f>
        <v>42799.85</v>
      </c>
      <c r="F34" s="105">
        <f t="shared" si="0"/>
        <v>567088.41999999993</v>
      </c>
      <c r="G34" s="105">
        <f>SCOG!H31+SCOG!H95+SCOG!I31+SCOG!I95+SCOG!J31+SCOG!J95</f>
        <v>77431.350000000006</v>
      </c>
      <c r="H34" s="105">
        <f>SCOG!J31+SCOG!J95</f>
        <v>77431.350000000006</v>
      </c>
      <c r="I34" s="105">
        <f t="shared" si="1"/>
        <v>489657.06999999995</v>
      </c>
    </row>
    <row r="35" spans="2:9" ht="24" x14ac:dyDescent="0.2">
      <c r="B35" s="145"/>
      <c r="C35" s="146" t="s">
        <v>273</v>
      </c>
      <c r="D35" s="105">
        <f>-SCOG!D32+-SCOG!D96</f>
        <v>2786801.52</v>
      </c>
      <c r="E35" s="105">
        <f>-SCOG!F32+-SCOG!F96</f>
        <v>40136</v>
      </c>
      <c r="F35" s="105">
        <f t="shared" si="0"/>
        <v>2826937.52</v>
      </c>
      <c r="G35" s="105">
        <f>SCOG!H32+SCOG!H96+SCOG!I32+SCOG!I96+SCOG!J32+SCOG!J96</f>
        <v>291508.28999999998</v>
      </c>
      <c r="H35" s="105">
        <f>SCOG!J32+SCOG!J96</f>
        <v>291508.28999999998</v>
      </c>
      <c r="I35" s="105">
        <f t="shared" si="1"/>
        <v>2535429.23</v>
      </c>
    </row>
    <row r="36" spans="2:9" x14ac:dyDescent="0.2">
      <c r="B36" s="145"/>
      <c r="C36" s="146" t="s">
        <v>274</v>
      </c>
      <c r="D36" s="105">
        <f>-SCOG!D33+-SCOG!D97</f>
        <v>167465</v>
      </c>
      <c r="E36" s="105">
        <f>-SCOG!F33+-SCOG!F97</f>
        <v>0</v>
      </c>
      <c r="F36" s="105">
        <f t="shared" si="0"/>
        <v>167465</v>
      </c>
      <c r="G36" s="105">
        <f>SCOG!H33+SCOG!H97+SCOG!I33+SCOG!I97+SCOG!J33+SCOG!J97</f>
        <v>0</v>
      </c>
      <c r="H36" s="105">
        <f>SCOG!J33+SCOG!J97</f>
        <v>0</v>
      </c>
      <c r="I36" s="105">
        <f t="shared" si="1"/>
        <v>167465</v>
      </c>
    </row>
    <row r="37" spans="2:9" x14ac:dyDescent="0.2">
      <c r="B37" s="145"/>
      <c r="C37" s="146" t="s">
        <v>275</v>
      </c>
      <c r="D37" s="105">
        <f>-SCOG!D34+-SCOG!D98</f>
        <v>1077607.19</v>
      </c>
      <c r="E37" s="105">
        <f>-SCOG!F34+-SCOG!F98</f>
        <v>45416.08</v>
      </c>
      <c r="F37" s="105">
        <f t="shared" si="0"/>
        <v>1123023.27</v>
      </c>
      <c r="G37" s="105">
        <f>SCOG!H34+SCOG!H98+SCOG!I34+SCOG!I98+SCOG!J34+SCOG!J98</f>
        <v>342194.66000000003</v>
      </c>
      <c r="H37" s="105">
        <f>SCOG!J34+SCOG!J98</f>
        <v>342194.66000000003</v>
      </c>
      <c r="I37" s="105">
        <f t="shared" si="1"/>
        <v>780828.61</v>
      </c>
    </row>
    <row r="38" spans="2:9" x14ac:dyDescent="0.2">
      <c r="B38" s="145"/>
      <c r="C38" s="146" t="s">
        <v>276</v>
      </c>
      <c r="D38" s="105">
        <f>-SCOG!D35+-SCOG!D99</f>
        <v>1591852.57</v>
      </c>
      <c r="E38" s="105">
        <f>-SCOG!F35+-SCOG!F99</f>
        <v>25838.15</v>
      </c>
      <c r="F38" s="105">
        <f t="shared" si="0"/>
        <v>1617690.72</v>
      </c>
      <c r="G38" s="105">
        <f>SCOG!H35+SCOG!H99+SCOG!I35+SCOG!I99+SCOG!J35+SCOG!J99</f>
        <v>53815.3</v>
      </c>
      <c r="H38" s="105">
        <f>SCOG!J35+SCOG!J99</f>
        <v>53815.3</v>
      </c>
      <c r="I38" s="105">
        <f t="shared" si="1"/>
        <v>1563875.42</v>
      </c>
    </row>
    <row r="39" spans="2:9" x14ac:dyDescent="0.2">
      <c r="B39" s="145"/>
      <c r="C39" s="146" t="s">
        <v>17</v>
      </c>
      <c r="D39" s="105">
        <f>-SCOG!D36+-SCOG!D100</f>
        <v>2599812.5299999998</v>
      </c>
      <c r="E39" s="105">
        <f>-SCOG!F36+-SCOG!F100</f>
        <v>15953.79</v>
      </c>
      <c r="F39" s="105">
        <f t="shared" si="0"/>
        <v>2615766.3199999998</v>
      </c>
      <c r="G39" s="105">
        <f>SCOG!H36+SCOG!H100+SCOG!I36+SCOG!I100+SCOG!J36+SCOG!J100</f>
        <v>556465.31999999995</v>
      </c>
      <c r="H39" s="105">
        <f>SCOG!J36+SCOG!J100</f>
        <v>556465.31999999995</v>
      </c>
      <c r="I39" s="105">
        <f t="shared" si="1"/>
        <v>2059301</v>
      </c>
    </row>
    <row r="40" spans="2:9" x14ac:dyDescent="0.2">
      <c r="B40" s="658" t="s">
        <v>234</v>
      </c>
      <c r="C40" s="659"/>
      <c r="D40" s="360">
        <f>SUM(D41:D49)</f>
        <v>3669605</v>
      </c>
      <c r="E40" s="360">
        <f>SUM(E41:E49)</f>
        <v>587685.29</v>
      </c>
      <c r="F40" s="360">
        <f t="shared" si="0"/>
        <v>4257290.29</v>
      </c>
      <c r="G40" s="360">
        <f>SUM(G41:G49)</f>
        <v>375984</v>
      </c>
      <c r="H40" s="360">
        <f>SUM(H41:H49)</f>
        <v>375984</v>
      </c>
      <c r="I40" s="360">
        <f t="shared" si="1"/>
        <v>3881306.29</v>
      </c>
    </row>
    <row r="41" spans="2:9" x14ac:dyDescent="0.2">
      <c r="B41" s="145"/>
      <c r="C41" s="146" t="s">
        <v>108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x14ac:dyDescent="0.2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113</v>
      </c>
      <c r="D44" s="105">
        <f>-SCOG!D40+-SCOG!D104</f>
        <v>3022307</v>
      </c>
      <c r="E44" s="105">
        <f>-SCOG!F40+-SCOG!F104</f>
        <v>587685.29</v>
      </c>
      <c r="F44" s="105">
        <f t="shared" ref="F44:F75" si="2">+D44+E44</f>
        <v>3609992.29</v>
      </c>
      <c r="G44" s="105">
        <f>SCOG!H40+SCOG!H104+SCOG!I40+SCOG!I104+SCOG!J40+SCOG!J104</f>
        <v>288522</v>
      </c>
      <c r="H44" s="105">
        <f>SCOG!J40+SCOG!J104</f>
        <v>288522</v>
      </c>
      <c r="I44" s="105">
        <f t="shared" ref="I44:I75" si="3">+F44-G44</f>
        <v>3321470.29</v>
      </c>
    </row>
    <row r="45" spans="2:9" x14ac:dyDescent="0.2">
      <c r="B45" s="145"/>
      <c r="C45" s="146" t="s">
        <v>115</v>
      </c>
      <c r="D45" s="105">
        <f>-SCOG!D41+-SCOG!D105</f>
        <v>647298</v>
      </c>
      <c r="E45" s="105">
        <f>-SCOG!F41+-SCOG!F105</f>
        <v>0</v>
      </c>
      <c r="F45" s="105">
        <f t="shared" si="2"/>
        <v>647298</v>
      </c>
      <c r="G45" s="105">
        <f>SCOG!H41+SCOG!H105+SCOG!I41+SCOG!I105+SCOG!J41+SCOG!J105</f>
        <v>87462</v>
      </c>
      <c r="H45" s="105">
        <f>SCOG!J41+SCOG!J105</f>
        <v>87462</v>
      </c>
      <c r="I45" s="105">
        <f t="shared" si="3"/>
        <v>559836</v>
      </c>
    </row>
    <row r="46" spans="2:9" x14ac:dyDescent="0.2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658" t="s">
        <v>278</v>
      </c>
      <c r="C50" s="659"/>
      <c r="D50" s="360">
        <f>SUM(D51:D59)</f>
        <v>572100.68999999994</v>
      </c>
      <c r="E50" s="360">
        <f>SUM(E51:E59)</f>
        <v>5545451.3899999997</v>
      </c>
      <c r="F50" s="360">
        <f t="shared" si="2"/>
        <v>6117552.0800000001</v>
      </c>
      <c r="G50" s="360">
        <f>SUM(G51:G59)</f>
        <v>1995507.77</v>
      </c>
      <c r="H50" s="360">
        <f>SUM(H51:H59)</f>
        <v>1995507.77</v>
      </c>
      <c r="I50" s="360">
        <f t="shared" si="3"/>
        <v>4122044.31</v>
      </c>
    </row>
    <row r="51" spans="2:9" x14ac:dyDescent="0.2">
      <c r="B51" s="145"/>
      <c r="C51" s="146" t="s">
        <v>279</v>
      </c>
      <c r="D51" s="105">
        <f>-SCOG!D46+-SCOG!D110</f>
        <v>0</v>
      </c>
      <c r="E51" s="105">
        <f>-SCOG!F46+-SCOG!F110</f>
        <v>2987605.28</v>
      </c>
      <c r="F51" s="105">
        <f t="shared" si="2"/>
        <v>2987605.28</v>
      </c>
      <c r="G51" s="105">
        <f>SCOG!H46+SCOG!H110+SCOG!I46+SCOG!I110+SCOG!J46+SCOG!J110</f>
        <v>1408907.12</v>
      </c>
      <c r="H51" s="105">
        <f>SCOG!J46+SCOG!J110</f>
        <v>1408907.12</v>
      </c>
      <c r="I51" s="105">
        <f t="shared" si="3"/>
        <v>1578698.1599999997</v>
      </c>
    </row>
    <row r="52" spans="2:9" x14ac:dyDescent="0.2">
      <c r="B52" s="145"/>
      <c r="C52" s="146" t="s">
        <v>280</v>
      </c>
      <c r="D52" s="105">
        <f>-SCOG!D47+-SCOG!D111</f>
        <v>0</v>
      </c>
      <c r="E52" s="105">
        <f>-SCOG!F47+-SCOG!F111</f>
        <v>0</v>
      </c>
      <c r="F52" s="105">
        <f t="shared" si="2"/>
        <v>0</v>
      </c>
      <c r="G52" s="105">
        <f>SCOG!H47+SCOG!H111+SCOG!I47+SCOG!I111+SCOG!J47+SCOG!J111</f>
        <v>0</v>
      </c>
      <c r="H52" s="105">
        <f>SCOG!J47+SCOG!J111</f>
        <v>0</v>
      </c>
      <c r="I52" s="105">
        <f t="shared" si="3"/>
        <v>0</v>
      </c>
    </row>
    <row r="53" spans="2:9" x14ac:dyDescent="0.2">
      <c r="B53" s="145"/>
      <c r="C53" s="146" t="s">
        <v>281</v>
      </c>
      <c r="D53" s="105">
        <f>-SCOG!D48+-SCOG!D112</f>
        <v>0</v>
      </c>
      <c r="E53" s="105">
        <f>-SCOG!F48+-SCOG!F112</f>
        <v>0</v>
      </c>
      <c r="F53" s="105">
        <f t="shared" si="2"/>
        <v>0</v>
      </c>
      <c r="G53" s="105">
        <f>SCOG!H48+SCOG!H112+SCOG!I48+SCOG!I112+SCOG!J48+SCOG!J112</f>
        <v>0</v>
      </c>
      <c r="H53" s="105">
        <f>SCOG!J48+SCOG!J112</f>
        <v>0</v>
      </c>
      <c r="I53" s="105">
        <f t="shared" si="3"/>
        <v>0</v>
      </c>
    </row>
    <row r="54" spans="2:9" x14ac:dyDescent="0.2">
      <c r="B54" s="145"/>
      <c r="C54" s="146" t="s">
        <v>282</v>
      </c>
      <c r="D54" s="105">
        <f>-SCOG!D49+-SCOG!D113</f>
        <v>0</v>
      </c>
      <c r="E54" s="105">
        <f>-SCOG!F49+-SCOG!F113</f>
        <v>0</v>
      </c>
      <c r="F54" s="105">
        <f t="shared" si="2"/>
        <v>0</v>
      </c>
      <c r="G54" s="105">
        <f>SCOG!H49+SCOG!H113+SCOG!I49+SCOG!I113+SCOG!J49+SCOG!J113</f>
        <v>0</v>
      </c>
      <c r="H54" s="105">
        <f>SCOG!J49+SCOG!J113</f>
        <v>0</v>
      </c>
      <c r="I54" s="105">
        <f t="shared" si="3"/>
        <v>0</v>
      </c>
    </row>
    <row r="55" spans="2:9" x14ac:dyDescent="0.2">
      <c r="B55" s="145"/>
      <c r="C55" s="146" t="s">
        <v>283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x14ac:dyDescent="0.2">
      <c r="B56" s="145"/>
      <c r="C56" s="146" t="s">
        <v>284</v>
      </c>
      <c r="D56" s="105">
        <f>-SCOG!D51+-SCOG!D115</f>
        <v>572100.68999999994</v>
      </c>
      <c r="E56" s="105">
        <f>-SCOG!F51+-SCOG!F115</f>
        <v>2506270</v>
      </c>
      <c r="F56" s="105">
        <f t="shared" si="2"/>
        <v>3078370.69</v>
      </c>
      <c r="G56" s="105">
        <f>SCOG!H51+SCOG!H115+SCOG!I51+SCOG!I115+SCOG!J51+SCOG!J115</f>
        <v>586600.65</v>
      </c>
      <c r="H56" s="105">
        <f>SCOG!J51+SCOG!J115</f>
        <v>586600.65</v>
      </c>
      <c r="I56" s="105">
        <f t="shared" si="3"/>
        <v>2491770.04</v>
      </c>
    </row>
    <row r="57" spans="2:9" x14ac:dyDescent="0.2">
      <c r="B57" s="145"/>
      <c r="C57" s="146" t="s">
        <v>285</v>
      </c>
      <c r="D57" s="105">
        <f>-SCOG!D52+-SCOG!D116</f>
        <v>0</v>
      </c>
      <c r="E57" s="105">
        <f>-SCOG!F52+-SCOG!F116</f>
        <v>0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x14ac:dyDescent="0.2">
      <c r="B58" s="145"/>
      <c r="C58" s="146" t="s">
        <v>286</v>
      </c>
      <c r="D58" s="105">
        <f>-SCOG!D53+-SCOG!D117</f>
        <v>0</v>
      </c>
      <c r="E58" s="105">
        <f>-SCOG!F53+-SCOG!F117</f>
        <v>51576.11</v>
      </c>
      <c r="F58" s="105">
        <f t="shared" si="2"/>
        <v>51576.11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51576.11</v>
      </c>
    </row>
    <row r="59" spans="2:9" x14ac:dyDescent="0.2">
      <c r="B59" s="145"/>
      <c r="C59" s="146" t="s">
        <v>185</v>
      </c>
      <c r="D59" s="105">
        <f>-SCOG!D54+-SCOG!D118</f>
        <v>0</v>
      </c>
      <c r="E59" s="105">
        <f>-SCOG!F54+-SCOG!F118</f>
        <v>0</v>
      </c>
      <c r="F59" s="105">
        <f t="shared" si="2"/>
        <v>0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0</v>
      </c>
    </row>
    <row r="60" spans="2:9" x14ac:dyDescent="0.2">
      <c r="B60" s="658" t="s">
        <v>145</v>
      </c>
      <c r="C60" s="659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 x14ac:dyDescent="0.2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658" t="s">
        <v>290</v>
      </c>
      <c r="C64" s="659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 x14ac:dyDescent="0.2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658" t="s">
        <v>116</v>
      </c>
      <c r="C72" s="659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 x14ac:dyDescent="0.2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658" t="s">
        <v>298</v>
      </c>
      <c r="C76" s="659"/>
      <c r="D76" s="360">
        <f>SUM(D77:D83)</f>
        <v>0</v>
      </c>
      <c r="E76" s="360">
        <f>SUM(E77:E83)</f>
        <v>0</v>
      </c>
      <c r="F76" s="360">
        <f t="shared" ref="F76:F83" si="4">+D76+E76</f>
        <v>0</v>
      </c>
      <c r="G76" s="360">
        <f>SUM(G77:G83)</f>
        <v>0</v>
      </c>
      <c r="H76" s="360">
        <f>SUM(H77:H83)</f>
        <v>0</v>
      </c>
      <c r="I76" s="360">
        <f t="shared" ref="I76:I83" si="5">+F76-G76</f>
        <v>0</v>
      </c>
    </row>
    <row r="77" spans="2:9" x14ac:dyDescent="0.2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 x14ac:dyDescent="0.2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 x14ac:dyDescent="0.2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 x14ac:dyDescent="0.2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1:10" x14ac:dyDescent="0.2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1:10" x14ac:dyDescent="0.2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1:10" x14ac:dyDescent="0.2">
      <c r="B83" s="145"/>
      <c r="C83" s="146" t="s">
        <v>300</v>
      </c>
      <c r="D83" s="105">
        <f>-SCOG!D74+-SCOG!D138</f>
        <v>0</v>
      </c>
      <c r="E83" s="105">
        <f>-SCOG!F74+-SCOG!F138</f>
        <v>0</v>
      </c>
      <c r="F83" s="105">
        <f t="shared" si="4"/>
        <v>0</v>
      </c>
      <c r="G83" s="105">
        <f>SCOG!H74+SCOG!H138+SCOG!I74+SCOG!I138+SCOG!J74+SCOG!J138</f>
        <v>0</v>
      </c>
      <c r="H83" s="105">
        <f>SCOG!J74+SCOG!J138</f>
        <v>0</v>
      </c>
      <c r="I83" s="105">
        <f t="shared" si="5"/>
        <v>0</v>
      </c>
    </row>
    <row r="84" spans="1:10" s="1" customFormat="1" x14ac:dyDescent="0.2">
      <c r="A84" s="124"/>
      <c r="B84" s="147"/>
      <c r="C84" s="148" t="s">
        <v>248</v>
      </c>
      <c r="D84" s="398">
        <f t="shared" ref="D84:I84" si="6">+D12+D20+D30+D40+D50+D60+D64+D72+D76</f>
        <v>130204948.28999999</v>
      </c>
      <c r="E84" s="398">
        <f t="shared" si="6"/>
        <v>8790009.3699999992</v>
      </c>
      <c r="F84" s="398">
        <f t="shared" si="6"/>
        <v>138994957.66</v>
      </c>
      <c r="G84" s="398">
        <f t="shared" si="6"/>
        <v>26471793.890000001</v>
      </c>
      <c r="H84" s="398">
        <f t="shared" si="6"/>
        <v>26471793.890000001</v>
      </c>
      <c r="I84" s="398">
        <f t="shared" si="6"/>
        <v>112523163.77000001</v>
      </c>
      <c r="J84" s="124"/>
    </row>
    <row r="85" spans="1:10" x14ac:dyDescent="0.2">
      <c r="B85" s="613" t="s">
        <v>149</v>
      </c>
      <c r="C85" s="613"/>
      <c r="D85" s="613"/>
      <c r="E85" s="613"/>
      <c r="F85" s="613"/>
      <c r="G85" s="613"/>
      <c r="H85" s="613"/>
    </row>
    <row r="86" spans="1:10" ht="52.5" hidden="1" customHeight="1" x14ac:dyDescent="0.2">
      <c r="B86" s="638" t="s">
        <v>249</v>
      </c>
      <c r="C86" s="639"/>
      <c r="D86" s="639"/>
      <c r="E86" s="639"/>
      <c r="F86" s="639"/>
      <c r="G86" s="639"/>
      <c r="H86" s="639"/>
      <c r="I86" s="639"/>
    </row>
    <row r="87" spans="1:10" x14ac:dyDescent="0.2">
      <c r="B87" s="613"/>
      <c r="C87" s="613"/>
      <c r="D87" s="613"/>
      <c r="E87" s="613"/>
      <c r="F87" s="613"/>
      <c r="G87" s="613"/>
      <c r="H87" s="613"/>
      <c r="I87" s="143"/>
    </row>
    <row r="88" spans="1:10" x14ac:dyDescent="0.2">
      <c r="B88" s="350"/>
      <c r="C88" s="350"/>
      <c r="D88" s="350"/>
      <c r="E88" s="350"/>
      <c r="F88" s="350"/>
      <c r="G88" s="350"/>
      <c r="H88" s="350"/>
      <c r="I88" s="143"/>
    </row>
    <row r="89" spans="1:10" x14ac:dyDescent="0.2">
      <c r="B89" s="350"/>
      <c r="C89" s="350"/>
      <c r="D89" s="350"/>
      <c r="E89" s="350"/>
      <c r="F89" s="350"/>
      <c r="G89" s="350"/>
      <c r="H89" s="350"/>
      <c r="I89" s="143"/>
    </row>
    <row r="90" spans="1:10" x14ac:dyDescent="0.2">
      <c r="B90" s="350"/>
      <c r="C90" s="350"/>
      <c r="D90" s="350"/>
      <c r="E90" s="350"/>
      <c r="F90" s="350"/>
      <c r="G90" s="350"/>
      <c r="H90" s="350"/>
      <c r="I90" s="143"/>
    </row>
    <row r="91" spans="1:10" x14ac:dyDescent="0.2">
      <c r="B91" s="350"/>
      <c r="C91" s="350"/>
      <c r="D91" s="350"/>
      <c r="E91" s="350"/>
      <c r="F91" s="350"/>
      <c r="G91" s="350"/>
      <c r="H91" s="350"/>
      <c r="I91" s="143"/>
    </row>
    <row r="92" spans="1:10" x14ac:dyDescent="0.2">
      <c r="B92" s="350"/>
      <c r="C92" s="350"/>
      <c r="D92" s="350"/>
      <c r="E92" s="350"/>
      <c r="F92" s="350"/>
      <c r="G92" s="350"/>
      <c r="H92" s="350"/>
      <c r="I92" s="143"/>
    </row>
    <row r="93" spans="1:10" x14ac:dyDescent="0.2">
      <c r="B93" s="343"/>
      <c r="C93" s="346"/>
      <c r="D93" s="346"/>
      <c r="E93" s="346"/>
      <c r="F93" s="346"/>
      <c r="G93" s="346"/>
      <c r="H93" s="346"/>
      <c r="I93" s="310"/>
    </row>
    <row r="94" spans="1:10" x14ac:dyDescent="0.2">
      <c r="B94" s="343"/>
      <c r="C94" s="346"/>
      <c r="D94" s="346"/>
      <c r="E94" s="346"/>
      <c r="F94" s="346"/>
      <c r="G94" s="346"/>
      <c r="H94" s="346"/>
      <c r="I94" s="310"/>
    </row>
    <row r="95" spans="1:10" x14ac:dyDescent="0.2">
      <c r="B95" s="343"/>
      <c r="C95" s="314"/>
      <c r="D95" s="346"/>
      <c r="E95" s="346"/>
      <c r="F95" s="314"/>
      <c r="G95" s="314"/>
      <c r="H95" s="314"/>
      <c r="I95" s="312"/>
    </row>
    <row r="96" spans="1:10" ht="15" customHeight="1" x14ac:dyDescent="0.2">
      <c r="C96" s="342" t="str">
        <f>+ENTE!D10</f>
        <v xml:space="preserve">M. EN A.  GONZALO FERREIRA MARTÍNEZ </v>
      </c>
      <c r="D96" s="310"/>
      <c r="E96" s="310"/>
      <c r="F96" s="649" t="str">
        <f>+ENTE!D14</f>
        <v>C.P.  ELDA GRACIELA FLORES HERNÁNDEZ</v>
      </c>
      <c r="G96" s="649"/>
      <c r="H96" s="649"/>
      <c r="I96" s="649"/>
    </row>
    <row r="97" spans="3:9" ht="15" customHeight="1" x14ac:dyDescent="0.2">
      <c r="C97" s="342" t="str">
        <f>+ENTE!D12</f>
        <v>DIRECTOR DE ADMINISTRACIÓN  Y FINANZAS</v>
      </c>
      <c r="D97" s="310"/>
      <c r="E97" s="310"/>
      <c r="F97" s="648" t="str">
        <f>+ENTE!D16</f>
        <v>JEFA DEL DEPARTAMENTO DE ADMINISTRACIÓN FINANCIERA</v>
      </c>
      <c r="G97" s="648"/>
      <c r="H97" s="648"/>
      <c r="I97" s="648"/>
    </row>
    <row r="98" spans="3:9" x14ac:dyDescent="0.2">
      <c r="D98" s="143"/>
      <c r="E98" s="143"/>
      <c r="F98" s="143"/>
      <c r="G98" s="143"/>
      <c r="H98" s="143"/>
      <c r="I98" s="144"/>
    </row>
  </sheetData>
  <sheetProtection algorithmName="SHA-512" hashValue="0OhUai4rxVLYjPYD+VpM2GkPZENuqXkmpv8zuRChhOZLgT37nzr+3WOKyk3lmcb8RQJqpmJE/tDzJiWA2NIgsA==" saltValue="KdoLTHKNRpC6Rzl2YQDBag==" spinCount="100000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</mergeCells>
  <printOptions horizontalCentered="1" verticalCentered="1"/>
  <pageMargins left="0" right="0" top="0.74803149606299213" bottom="0.74803149606299213" header="0.31496062992125984" footer="0.31496062992125984"/>
  <pageSetup scale="59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view="pageBreakPreview" topLeftCell="A158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6" customWidth="1"/>
    <col min="3" max="3" width="39" style="276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7"/>
      <c r="C1" s="277"/>
      <c r="D1" s="201"/>
      <c r="E1" s="201"/>
      <c r="F1" s="201"/>
      <c r="G1" s="201"/>
      <c r="H1" s="201"/>
      <c r="I1" s="201"/>
    </row>
    <row r="2" spans="1:10" x14ac:dyDescent="0.2">
      <c r="B2" s="602"/>
      <c r="C2" s="602"/>
      <c r="D2" s="602"/>
      <c r="E2" s="602"/>
      <c r="F2" s="602"/>
      <c r="G2" s="602"/>
      <c r="H2" s="602"/>
      <c r="I2" s="602"/>
    </row>
    <row r="3" spans="1:10" x14ac:dyDescent="0.2">
      <c r="B3" s="621" t="s">
        <v>638</v>
      </c>
      <c r="C3" s="621"/>
      <c r="D3" s="621"/>
      <c r="E3" s="621"/>
      <c r="F3" s="621"/>
      <c r="G3" s="621"/>
      <c r="H3" s="621"/>
      <c r="I3" s="621"/>
    </row>
    <row r="4" spans="1:10" x14ac:dyDescent="0.2">
      <c r="B4" s="685" t="s">
        <v>639</v>
      </c>
      <c r="C4" s="685"/>
      <c r="D4" s="685"/>
      <c r="E4" s="685"/>
      <c r="F4" s="685"/>
      <c r="G4" s="685"/>
      <c r="H4" s="685"/>
      <c r="I4" s="685"/>
    </row>
    <row r="5" spans="1:10" x14ac:dyDescent="0.2">
      <c r="B5" s="685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85"/>
      <c r="D5" s="685"/>
      <c r="E5" s="685"/>
      <c r="F5" s="685"/>
      <c r="G5" s="685"/>
      <c r="H5" s="685"/>
      <c r="I5" s="685"/>
    </row>
    <row r="6" spans="1:10" x14ac:dyDescent="0.2">
      <c r="B6" s="685" t="s">
        <v>92</v>
      </c>
      <c r="C6" s="685"/>
      <c r="D6" s="685"/>
      <c r="E6" s="685"/>
      <c r="F6" s="685"/>
      <c r="G6" s="685"/>
      <c r="H6" s="685"/>
      <c r="I6" s="685"/>
    </row>
    <row r="7" spans="1:10" x14ac:dyDescent="0.2">
      <c r="B7" s="399"/>
      <c r="C7" s="399"/>
      <c r="D7" s="23"/>
      <c r="E7" s="23"/>
      <c r="F7" s="23"/>
      <c r="G7" s="23"/>
      <c r="H7" s="23"/>
      <c r="I7" s="23"/>
    </row>
    <row r="8" spans="1:10" x14ac:dyDescent="0.2">
      <c r="B8" s="353" t="s">
        <v>4</v>
      </c>
      <c r="C8" s="629" t="str">
        <f>+ENTE!D8</f>
        <v xml:space="preserve">UNIVERSIDAD TECNOLÓGICA DE SAN JUAN DEL RÍO </v>
      </c>
      <c r="D8" s="629"/>
      <c r="E8" s="629"/>
      <c r="F8" s="629"/>
      <c r="G8" s="629"/>
      <c r="H8" s="629"/>
      <c r="I8" s="272"/>
      <c r="J8" s="273"/>
    </row>
    <row r="9" spans="1:10" x14ac:dyDescent="0.2">
      <c r="B9" s="400"/>
      <c r="C9" s="400"/>
      <c r="D9" s="401"/>
      <c r="E9" s="401"/>
      <c r="F9" s="401"/>
      <c r="G9" s="401"/>
      <c r="H9" s="401"/>
      <c r="I9" s="401"/>
    </row>
    <row r="10" spans="1:10" x14ac:dyDescent="0.2">
      <c r="B10" s="686" t="s">
        <v>393</v>
      </c>
      <c r="C10" s="687"/>
      <c r="D10" s="681" t="s">
        <v>494</v>
      </c>
      <c r="E10" s="682"/>
      <c r="F10" s="682"/>
      <c r="G10" s="682"/>
      <c r="H10" s="682"/>
      <c r="I10" s="683" t="s">
        <v>645</v>
      </c>
    </row>
    <row r="11" spans="1:10" ht="27" customHeight="1" x14ac:dyDescent="0.2">
      <c r="B11" s="688"/>
      <c r="C11" s="689"/>
      <c r="D11" s="402" t="s">
        <v>495</v>
      </c>
      <c r="E11" s="402" t="s">
        <v>244</v>
      </c>
      <c r="F11" s="357" t="s">
        <v>220</v>
      </c>
      <c r="G11" s="403" t="s">
        <v>221</v>
      </c>
      <c r="H11" s="403" t="s">
        <v>245</v>
      </c>
      <c r="I11" s="684"/>
    </row>
    <row r="12" spans="1:10" x14ac:dyDescent="0.2">
      <c r="B12" s="404"/>
      <c r="C12" s="400"/>
      <c r="D12" s="405"/>
      <c r="E12" s="405"/>
      <c r="F12" s="406"/>
      <c r="G12" s="407"/>
      <c r="H12" s="407"/>
      <c r="I12" s="407"/>
    </row>
    <row r="13" spans="1:10" ht="24" x14ac:dyDescent="0.2">
      <c r="B13" s="408" t="s">
        <v>496</v>
      </c>
      <c r="C13" s="409"/>
      <c r="D13" s="410">
        <f>+D14+D22+D32+D42+D52+D62+D66+D74+D78</f>
        <v>130204948.28999999</v>
      </c>
      <c r="E13" s="410">
        <f>+E14+E22+E32+E42+E52+E62+E66+E74+E78</f>
        <v>6283739.3699999992</v>
      </c>
      <c r="F13" s="411">
        <f>+F14+F22+F32+F42+F52+F62+F66+F74+F78</f>
        <v>136488687.66</v>
      </c>
      <c r="G13" s="412">
        <f>+G14+G22+G32+G42+G52+G62+G66+G74+G78</f>
        <v>26457293.890000001</v>
      </c>
      <c r="H13" s="412">
        <f>+H14+H22+H32+H42+H52+H62+H66+H74+H78</f>
        <v>26457293.890000001</v>
      </c>
      <c r="I13" s="412">
        <f>+F13-G13</f>
        <v>110031393.77</v>
      </c>
    </row>
    <row r="14" spans="1:10" s="364" customFormat="1" x14ac:dyDescent="0.2">
      <c r="A14" s="305"/>
      <c r="B14" s="666" t="s">
        <v>497</v>
      </c>
      <c r="C14" s="667"/>
      <c r="D14" s="413">
        <f>SUM(D15:D21)</f>
        <v>99374996.039999992</v>
      </c>
      <c r="E14" s="413">
        <f t="shared" ref="E14:H14" si="0">SUM(E15:E21)</f>
        <v>1342205.11</v>
      </c>
      <c r="F14" s="414">
        <f t="shared" si="0"/>
        <v>100717201.14999998</v>
      </c>
      <c r="G14" s="415">
        <f t="shared" si="0"/>
        <v>18590113.830000002</v>
      </c>
      <c r="H14" s="414">
        <f t="shared" si="0"/>
        <v>18590113.830000002</v>
      </c>
      <c r="I14" s="415">
        <f t="shared" ref="I14:I46" si="1">+F14-G14</f>
        <v>82127087.319999978</v>
      </c>
      <c r="J14" s="305"/>
    </row>
    <row r="15" spans="1:10" x14ac:dyDescent="0.2">
      <c r="B15" s="416" t="s">
        <v>498</v>
      </c>
      <c r="C15" s="417"/>
      <c r="D15" s="418">
        <f>-SCOG!D12</f>
        <v>52387512.649999999</v>
      </c>
      <c r="E15" s="418">
        <f>-SCOG!F12</f>
        <v>285130.08</v>
      </c>
      <c r="F15" s="419">
        <f t="shared" ref="F15:F21" si="2">+D15+E15</f>
        <v>52672642.729999997</v>
      </c>
      <c r="G15" s="420">
        <f>+SCOG!H12+SCOG!I12+SCOG!J12</f>
        <v>12832856.92</v>
      </c>
      <c r="H15" s="419">
        <f>SCOG!J12</f>
        <v>12832856.92</v>
      </c>
      <c r="I15" s="421">
        <f t="shared" si="1"/>
        <v>39839785.809999995</v>
      </c>
    </row>
    <row r="16" spans="1:10" x14ac:dyDescent="0.2">
      <c r="B16" s="416" t="s">
        <v>499</v>
      </c>
      <c r="C16" s="417"/>
      <c r="D16" s="418">
        <f>-SCOG!D13</f>
        <v>0</v>
      </c>
      <c r="E16" s="418">
        <f>-SCOG!F13</f>
        <v>23979</v>
      </c>
      <c r="F16" s="419">
        <f t="shared" si="2"/>
        <v>23979</v>
      </c>
      <c r="G16" s="420">
        <f>+SCOG!H13+SCOG!I13+SCOG!J13</f>
        <v>23979</v>
      </c>
      <c r="H16" s="419">
        <f>SCOG!J13</f>
        <v>23979</v>
      </c>
      <c r="I16" s="421">
        <f t="shared" si="1"/>
        <v>0</v>
      </c>
    </row>
    <row r="17" spans="1:10" x14ac:dyDescent="0.2">
      <c r="B17" s="416" t="s">
        <v>500</v>
      </c>
      <c r="C17" s="417"/>
      <c r="D17" s="418">
        <f>-SCOG!D14</f>
        <v>17932659.41</v>
      </c>
      <c r="E17" s="418">
        <f>-SCOG!F14</f>
        <v>193337.06</v>
      </c>
      <c r="F17" s="419">
        <f t="shared" si="2"/>
        <v>18125996.469999999</v>
      </c>
      <c r="G17" s="420">
        <f>+SCOG!H14+SCOG!I14+SCOG!J14</f>
        <v>660379.81000000006</v>
      </c>
      <c r="H17" s="419">
        <f>SCOG!J14</f>
        <v>660379.81000000006</v>
      </c>
      <c r="I17" s="421">
        <f t="shared" si="1"/>
        <v>17465616.66</v>
      </c>
    </row>
    <row r="18" spans="1:10" x14ac:dyDescent="0.2">
      <c r="B18" s="416" t="s">
        <v>501</v>
      </c>
      <c r="C18" s="417"/>
      <c r="D18" s="418">
        <f>-SCOG!D15</f>
        <v>11287720.57</v>
      </c>
      <c r="E18" s="418">
        <f>-SCOG!F15</f>
        <v>402734.53</v>
      </c>
      <c r="F18" s="419">
        <f t="shared" si="2"/>
        <v>11690455.1</v>
      </c>
      <c r="G18" s="420">
        <f>+SCOG!H15+SCOG!I15+SCOG!J15</f>
        <v>2406855.11</v>
      </c>
      <c r="H18" s="419">
        <f>SCOG!J15</f>
        <v>2406855.11</v>
      </c>
      <c r="I18" s="421">
        <f t="shared" si="1"/>
        <v>9283599.9900000002</v>
      </c>
    </row>
    <row r="19" spans="1:10" x14ac:dyDescent="0.2">
      <c r="B19" s="416" t="s">
        <v>502</v>
      </c>
      <c r="C19" s="417"/>
      <c r="D19" s="418">
        <f>-SCOG!D16</f>
        <v>11926896.310000001</v>
      </c>
      <c r="E19" s="418">
        <f>-SCOG!F16</f>
        <v>435500.7</v>
      </c>
      <c r="F19" s="419">
        <f t="shared" si="2"/>
        <v>12362397.01</v>
      </c>
      <c r="G19" s="420">
        <f>+SCOG!H16+SCOG!I16+SCOG!J16</f>
        <v>2282604.14</v>
      </c>
      <c r="H19" s="419">
        <f>SCOG!J16</f>
        <v>2282604.14</v>
      </c>
      <c r="I19" s="421">
        <f t="shared" si="1"/>
        <v>10079792.869999999</v>
      </c>
    </row>
    <row r="20" spans="1:10" x14ac:dyDescent="0.2">
      <c r="B20" s="422" t="s">
        <v>503</v>
      </c>
      <c r="C20" s="423"/>
      <c r="D20" s="418">
        <f>-SCOG!D17</f>
        <v>3135428.1</v>
      </c>
      <c r="E20" s="418">
        <f>-SCOG!F17</f>
        <v>0</v>
      </c>
      <c r="F20" s="419">
        <f t="shared" si="2"/>
        <v>3135428.1</v>
      </c>
      <c r="G20" s="420">
        <f>+SCOG!H17+SCOG!I17+SCOG!J17</f>
        <v>0</v>
      </c>
      <c r="H20" s="419">
        <f>SCOG!J17</f>
        <v>0</v>
      </c>
      <c r="I20" s="421">
        <f t="shared" si="1"/>
        <v>3135428.1</v>
      </c>
    </row>
    <row r="21" spans="1:10" x14ac:dyDescent="0.2">
      <c r="B21" s="416" t="s">
        <v>504</v>
      </c>
      <c r="C21" s="417"/>
      <c r="D21" s="418">
        <f>-SCOG!D18</f>
        <v>2704779</v>
      </c>
      <c r="E21" s="418">
        <f>-SCOG!F18</f>
        <v>1523.74</v>
      </c>
      <c r="F21" s="419">
        <f t="shared" si="2"/>
        <v>2706302.74</v>
      </c>
      <c r="G21" s="420">
        <f>+SCOG!H18+SCOG!I18+SCOG!J18</f>
        <v>383438.85</v>
      </c>
      <c r="H21" s="419">
        <f>SCOG!J18</f>
        <v>383438.85</v>
      </c>
      <c r="I21" s="421">
        <f t="shared" si="1"/>
        <v>2322863.89</v>
      </c>
    </row>
    <row r="22" spans="1:10" s="361" customFormat="1" x14ac:dyDescent="0.2">
      <c r="A22" s="305"/>
      <c r="B22" s="424" t="s">
        <v>505</v>
      </c>
      <c r="C22" s="425"/>
      <c r="D22" s="413">
        <f>SUM(D23:D31)</f>
        <v>4100432.1599999997</v>
      </c>
      <c r="E22" s="413">
        <f>SUM(E23:E31)</f>
        <v>433805.98</v>
      </c>
      <c r="F22" s="414">
        <f t="shared" ref="F22:G22" si="3">SUM(F23:F31)</f>
        <v>4534238.1399999997</v>
      </c>
      <c r="G22" s="415">
        <f t="shared" si="3"/>
        <v>979936.08</v>
      </c>
      <c r="H22" s="414">
        <f>SUM(H23:H31)</f>
        <v>979936.08</v>
      </c>
      <c r="I22" s="415">
        <f>+F22-G22</f>
        <v>3554302.0599999996</v>
      </c>
      <c r="J22" s="305"/>
    </row>
    <row r="23" spans="1:10" x14ac:dyDescent="0.2">
      <c r="B23" s="416" t="s">
        <v>506</v>
      </c>
      <c r="C23" s="417"/>
      <c r="D23" s="418">
        <f>-SCOG!D19</f>
        <v>957841.14</v>
      </c>
      <c r="E23" s="418">
        <f>-SCOG!F19</f>
        <v>257487.16</v>
      </c>
      <c r="F23" s="419">
        <f t="shared" ref="F23:F31" si="4">+D23+E23</f>
        <v>1215328.3</v>
      </c>
      <c r="G23" s="420">
        <f>+SCOG!H19+SCOG!I19+SCOG!J19</f>
        <v>418429.14</v>
      </c>
      <c r="H23" s="419">
        <f>SCOG!J19</f>
        <v>418429.14</v>
      </c>
      <c r="I23" s="421">
        <f t="shared" si="1"/>
        <v>796899.16</v>
      </c>
    </row>
    <row r="24" spans="1:10" x14ac:dyDescent="0.2">
      <c r="B24" s="416" t="s">
        <v>507</v>
      </c>
      <c r="C24" s="417"/>
      <c r="D24" s="418">
        <f>-SCOG!D20</f>
        <v>446930.67</v>
      </c>
      <c r="E24" s="418">
        <f>-SCOG!F20</f>
        <v>-4382.41</v>
      </c>
      <c r="F24" s="419">
        <f t="shared" si="4"/>
        <v>442548.26</v>
      </c>
      <c r="G24" s="420">
        <f>+SCOG!H20+SCOG!I20+SCOG!J20</f>
        <v>56815.99</v>
      </c>
      <c r="H24" s="419">
        <f>SCOG!J20</f>
        <v>56815.99</v>
      </c>
      <c r="I24" s="421">
        <f t="shared" si="1"/>
        <v>385732.27</v>
      </c>
    </row>
    <row r="25" spans="1:10" x14ac:dyDescent="0.2">
      <c r="B25" s="668" t="s">
        <v>508</v>
      </c>
      <c r="C25" s="669"/>
      <c r="D25" s="418">
        <f>-SCOG!D21</f>
        <v>0</v>
      </c>
      <c r="E25" s="418">
        <f>-SCOG!F21</f>
        <v>0</v>
      </c>
      <c r="F25" s="419">
        <f t="shared" si="4"/>
        <v>0</v>
      </c>
      <c r="G25" s="420">
        <f>+SCOG!H21+SCOG!I21+SCOG!J21</f>
        <v>0</v>
      </c>
      <c r="H25" s="419">
        <f>SCOG!J21</f>
        <v>0</v>
      </c>
      <c r="I25" s="421">
        <f t="shared" si="1"/>
        <v>0</v>
      </c>
    </row>
    <row r="26" spans="1:10" x14ac:dyDescent="0.2">
      <c r="B26" s="416" t="s">
        <v>509</v>
      </c>
      <c r="C26" s="417"/>
      <c r="D26" s="418">
        <f>-SCOG!D22</f>
        <v>767450.94</v>
      </c>
      <c r="E26" s="418">
        <f>-SCOG!F22</f>
        <v>1582.99</v>
      </c>
      <c r="F26" s="419">
        <f t="shared" si="4"/>
        <v>769033.92999999993</v>
      </c>
      <c r="G26" s="420">
        <f>+SCOG!H22+SCOG!I22+SCOG!J22</f>
        <v>45139.11</v>
      </c>
      <c r="H26" s="419">
        <f>SCOG!J22</f>
        <v>45139.11</v>
      </c>
      <c r="I26" s="421">
        <f t="shared" si="1"/>
        <v>723894.82</v>
      </c>
    </row>
    <row r="27" spans="1:10" x14ac:dyDescent="0.2">
      <c r="B27" s="668" t="s">
        <v>510</v>
      </c>
      <c r="C27" s="669"/>
      <c r="D27" s="418">
        <f>-SCOG!D23</f>
        <v>298576.82</v>
      </c>
      <c r="E27" s="418">
        <f>-SCOG!F23</f>
        <v>0</v>
      </c>
      <c r="F27" s="419">
        <f t="shared" si="4"/>
        <v>298576.82</v>
      </c>
      <c r="G27" s="420">
        <f>+SCOG!H23+SCOG!I23+SCOG!J23</f>
        <v>24521.45</v>
      </c>
      <c r="H27" s="419">
        <f>SCOG!J23</f>
        <v>24521.45</v>
      </c>
      <c r="I27" s="421">
        <f t="shared" si="1"/>
        <v>274055.37</v>
      </c>
    </row>
    <row r="28" spans="1:10" x14ac:dyDescent="0.2">
      <c r="B28" s="416" t="s">
        <v>511</v>
      </c>
      <c r="C28" s="417"/>
      <c r="D28" s="418">
        <f>-SCOG!D24</f>
        <v>1311802.6299999999</v>
      </c>
      <c r="E28" s="418">
        <f>-SCOG!F24</f>
        <v>0</v>
      </c>
      <c r="F28" s="419">
        <f t="shared" si="4"/>
        <v>1311802.6299999999</v>
      </c>
      <c r="G28" s="420">
        <f>+SCOG!H24+SCOG!I24+SCOG!J24</f>
        <v>233769.75</v>
      </c>
      <c r="H28" s="419">
        <f>SCOG!J24</f>
        <v>233769.75</v>
      </c>
      <c r="I28" s="421">
        <f t="shared" si="1"/>
        <v>1078032.8799999999</v>
      </c>
    </row>
    <row r="29" spans="1:10" x14ac:dyDescent="0.2">
      <c r="B29" s="668" t="s">
        <v>512</v>
      </c>
      <c r="C29" s="669"/>
      <c r="D29" s="418">
        <f>-SCOG!D25</f>
        <v>134646.32</v>
      </c>
      <c r="E29" s="418">
        <f>-SCOG!F25</f>
        <v>0</v>
      </c>
      <c r="F29" s="419">
        <f t="shared" si="4"/>
        <v>134646.32</v>
      </c>
      <c r="G29" s="420">
        <f>+SCOG!H25+SCOG!I25+SCOG!J25</f>
        <v>598</v>
      </c>
      <c r="H29" s="419">
        <f>SCOG!J25</f>
        <v>598</v>
      </c>
      <c r="I29" s="421">
        <f t="shared" si="1"/>
        <v>134048.32000000001</v>
      </c>
    </row>
    <row r="30" spans="1:10" x14ac:dyDescent="0.2">
      <c r="B30" s="416" t="s">
        <v>513</v>
      </c>
      <c r="C30" s="417"/>
      <c r="D30" s="418">
        <f>-SCOG!D26</f>
        <v>0</v>
      </c>
      <c r="E30" s="418">
        <f>-SCOG!F26</f>
        <v>0</v>
      </c>
      <c r="F30" s="419">
        <f t="shared" si="4"/>
        <v>0</v>
      </c>
      <c r="G30" s="420">
        <f>+SCOG!H26+SCOG!I26+SCOG!J26</f>
        <v>0</v>
      </c>
      <c r="H30" s="419">
        <f>SCOG!J26</f>
        <v>0</v>
      </c>
      <c r="I30" s="421">
        <f t="shared" si="1"/>
        <v>0</v>
      </c>
    </row>
    <row r="31" spans="1:10" x14ac:dyDescent="0.2">
      <c r="B31" s="416" t="s">
        <v>514</v>
      </c>
      <c r="C31" s="417"/>
      <c r="D31" s="418">
        <f>-SCOG!D27</f>
        <v>183183.64</v>
      </c>
      <c r="E31" s="418">
        <f>-SCOG!F27</f>
        <v>179118.24</v>
      </c>
      <c r="F31" s="419">
        <f t="shared" si="4"/>
        <v>362301.88</v>
      </c>
      <c r="G31" s="420">
        <f>+SCOG!H27+SCOG!I27+SCOG!J27</f>
        <v>200662.64</v>
      </c>
      <c r="H31" s="419">
        <f>SCOG!J27</f>
        <v>200662.64</v>
      </c>
      <c r="I31" s="421">
        <f t="shared" si="1"/>
        <v>161639.24</v>
      </c>
    </row>
    <row r="32" spans="1:10" s="361" customFormat="1" x14ac:dyDescent="0.2">
      <c r="A32" s="305"/>
      <c r="B32" s="424" t="s">
        <v>515</v>
      </c>
      <c r="C32" s="425"/>
      <c r="D32" s="413">
        <f>SUM(D33:D41)</f>
        <v>22487814.400000002</v>
      </c>
      <c r="E32" s="413">
        <f>SUM(E33:E41)</f>
        <v>880861.6</v>
      </c>
      <c r="F32" s="414">
        <f t="shared" ref="F32:G32" si="5">SUM(F33:F41)</f>
        <v>23368676</v>
      </c>
      <c r="G32" s="415">
        <f t="shared" si="5"/>
        <v>4530252.21</v>
      </c>
      <c r="H32" s="414">
        <f>SUM(H33:H41)</f>
        <v>4530252.21</v>
      </c>
      <c r="I32" s="415">
        <f t="shared" si="1"/>
        <v>18838423.789999999</v>
      </c>
      <c r="J32" s="305"/>
    </row>
    <row r="33" spans="1:10" x14ac:dyDescent="0.2">
      <c r="B33" s="416" t="s">
        <v>516</v>
      </c>
      <c r="C33" s="417"/>
      <c r="D33" s="418">
        <f>-SCOG!D28</f>
        <v>2496628.67</v>
      </c>
      <c r="E33" s="418">
        <f>-SCOG!F28</f>
        <v>42624.34</v>
      </c>
      <c r="F33" s="419">
        <f t="shared" ref="F33:F41" si="6">+D33+E33</f>
        <v>2539253.0099999998</v>
      </c>
      <c r="G33" s="420">
        <f>+SCOG!H28+SCOG!I28+SCOG!J28</f>
        <v>646930.21</v>
      </c>
      <c r="H33" s="419">
        <f>SCOG!J28</f>
        <v>646930.21</v>
      </c>
      <c r="I33" s="421">
        <f t="shared" si="1"/>
        <v>1892322.7999999998</v>
      </c>
    </row>
    <row r="34" spans="1:10" x14ac:dyDescent="0.2">
      <c r="B34" s="668" t="s">
        <v>517</v>
      </c>
      <c r="C34" s="669"/>
      <c r="D34" s="418">
        <f>-SCOG!D29</f>
        <v>843704.47</v>
      </c>
      <c r="E34" s="418">
        <f>-SCOG!F29</f>
        <v>371500</v>
      </c>
      <c r="F34" s="419">
        <f t="shared" si="6"/>
        <v>1215204.47</v>
      </c>
      <c r="G34" s="420">
        <f>+SCOG!H29+SCOG!I29+SCOG!J29</f>
        <v>30746.48</v>
      </c>
      <c r="H34" s="419">
        <f>SCOG!J29</f>
        <v>30746.48</v>
      </c>
      <c r="I34" s="421">
        <f t="shared" si="1"/>
        <v>1184457.99</v>
      </c>
    </row>
    <row r="35" spans="1:10" x14ac:dyDescent="0.2">
      <c r="B35" s="416" t="s">
        <v>518</v>
      </c>
      <c r="C35" s="417"/>
      <c r="D35" s="418">
        <f>-SCOG!D30</f>
        <v>10399653.880000001</v>
      </c>
      <c r="E35" s="418">
        <f>-SCOG!F30</f>
        <v>296593.39</v>
      </c>
      <c r="F35" s="419">
        <f t="shared" si="6"/>
        <v>10696247.270000001</v>
      </c>
      <c r="G35" s="420">
        <f>+SCOG!H30+SCOG!I30+SCOG!J30</f>
        <v>2531160.6</v>
      </c>
      <c r="H35" s="419">
        <f>SCOG!J30</f>
        <v>2531160.6</v>
      </c>
      <c r="I35" s="421">
        <f t="shared" si="1"/>
        <v>8165086.6700000018</v>
      </c>
    </row>
    <row r="36" spans="1:10" x14ac:dyDescent="0.2">
      <c r="B36" s="416" t="s">
        <v>519</v>
      </c>
      <c r="C36" s="417"/>
      <c r="D36" s="418">
        <f>-SCOG!D31</f>
        <v>524288.56999999995</v>
      </c>
      <c r="E36" s="418">
        <f>-SCOG!F31</f>
        <v>42799.85</v>
      </c>
      <c r="F36" s="419">
        <f t="shared" si="6"/>
        <v>567088.41999999993</v>
      </c>
      <c r="G36" s="420">
        <f>+SCOG!H31+SCOG!I31+SCOG!J31</f>
        <v>77431.350000000006</v>
      </c>
      <c r="H36" s="419">
        <f>SCOG!J31</f>
        <v>77431.350000000006</v>
      </c>
      <c r="I36" s="421">
        <f t="shared" si="1"/>
        <v>489657.06999999995</v>
      </c>
    </row>
    <row r="37" spans="1:10" x14ac:dyDescent="0.2">
      <c r="B37" s="416" t="s">
        <v>520</v>
      </c>
      <c r="C37" s="417"/>
      <c r="D37" s="418">
        <f>-SCOG!D32</f>
        <v>2786801.52</v>
      </c>
      <c r="E37" s="418">
        <f>-SCOG!F32</f>
        <v>40136</v>
      </c>
      <c r="F37" s="419">
        <f t="shared" si="6"/>
        <v>2826937.52</v>
      </c>
      <c r="G37" s="420">
        <f>+SCOG!H32+SCOG!I32+SCOG!J32</f>
        <v>291508.28999999998</v>
      </c>
      <c r="H37" s="419">
        <f>SCOG!J32</f>
        <v>291508.28999999998</v>
      </c>
      <c r="I37" s="421">
        <f t="shared" si="1"/>
        <v>2535429.23</v>
      </c>
    </row>
    <row r="38" spans="1:10" x14ac:dyDescent="0.2">
      <c r="B38" s="416" t="s">
        <v>521</v>
      </c>
      <c r="C38" s="417"/>
      <c r="D38" s="418">
        <f>-SCOG!D33</f>
        <v>167465</v>
      </c>
      <c r="E38" s="418">
        <f>-SCOG!F33</f>
        <v>0</v>
      </c>
      <c r="F38" s="419">
        <f t="shared" si="6"/>
        <v>167465</v>
      </c>
      <c r="G38" s="420">
        <f>+SCOG!H33+SCOG!I33+SCOG!J33</f>
        <v>0</v>
      </c>
      <c r="H38" s="419">
        <f>SCOG!J33</f>
        <v>0</v>
      </c>
      <c r="I38" s="421">
        <f t="shared" si="1"/>
        <v>167465</v>
      </c>
    </row>
    <row r="39" spans="1:10" x14ac:dyDescent="0.2">
      <c r="B39" s="416" t="s">
        <v>522</v>
      </c>
      <c r="C39" s="417"/>
      <c r="D39" s="418">
        <f>-SCOG!D34</f>
        <v>1077607.19</v>
      </c>
      <c r="E39" s="418">
        <f>-SCOG!F34</f>
        <v>45416.08</v>
      </c>
      <c r="F39" s="419">
        <f t="shared" si="6"/>
        <v>1123023.27</v>
      </c>
      <c r="G39" s="420">
        <f>+SCOG!H34+SCOG!I34+SCOG!J34</f>
        <v>342194.66000000003</v>
      </c>
      <c r="H39" s="419">
        <f>SCOG!J34</f>
        <v>342194.66000000003</v>
      </c>
      <c r="I39" s="421">
        <f t="shared" si="1"/>
        <v>780828.61</v>
      </c>
    </row>
    <row r="40" spans="1:10" x14ac:dyDescent="0.2">
      <c r="B40" s="416" t="s">
        <v>523</v>
      </c>
      <c r="C40" s="417"/>
      <c r="D40" s="418">
        <f>-SCOG!D35</f>
        <v>1591852.57</v>
      </c>
      <c r="E40" s="418">
        <f>-SCOG!F35</f>
        <v>25838.15</v>
      </c>
      <c r="F40" s="419">
        <f t="shared" si="6"/>
        <v>1617690.72</v>
      </c>
      <c r="G40" s="420">
        <f>+SCOG!H35+SCOG!I35+SCOG!J35</f>
        <v>53815.3</v>
      </c>
      <c r="H40" s="419">
        <f>SCOG!J35</f>
        <v>53815.3</v>
      </c>
      <c r="I40" s="421">
        <f t="shared" si="1"/>
        <v>1563875.42</v>
      </c>
    </row>
    <row r="41" spans="1:10" x14ac:dyDescent="0.2">
      <c r="B41" s="416" t="s">
        <v>524</v>
      </c>
      <c r="C41" s="417"/>
      <c r="D41" s="418">
        <f>-SCOG!D36</f>
        <v>2599812.5299999998</v>
      </c>
      <c r="E41" s="418">
        <f>-SCOG!F36</f>
        <v>15953.79</v>
      </c>
      <c r="F41" s="419">
        <f t="shared" si="6"/>
        <v>2615766.3199999998</v>
      </c>
      <c r="G41" s="420">
        <f>+SCOG!H36+SCOG!I36+SCOG!J36</f>
        <v>556465.31999999995</v>
      </c>
      <c r="H41" s="419">
        <f>SCOG!J36</f>
        <v>556465.31999999995</v>
      </c>
      <c r="I41" s="421">
        <f t="shared" si="1"/>
        <v>2059301</v>
      </c>
    </row>
    <row r="42" spans="1:10" s="361" customFormat="1" ht="24" customHeight="1" x14ac:dyDescent="0.2">
      <c r="A42" s="305"/>
      <c r="B42" s="666" t="s">
        <v>651</v>
      </c>
      <c r="C42" s="667"/>
      <c r="D42" s="426">
        <f>+D43+D44+D45+D46+D47+D48+D49+D50+D51</f>
        <v>3669605</v>
      </c>
      <c r="E42" s="426">
        <f>+E43+E44+E45+E46+E47+E48+E49+E50+E51</f>
        <v>587685.29</v>
      </c>
      <c r="F42" s="427">
        <f>+F43+F44+F45+F46+F47+F48+F49+F50+F51</f>
        <v>4257290.29</v>
      </c>
      <c r="G42" s="427">
        <f>+G43+G44+G45+G46+G47+G48+G49+G50+G51</f>
        <v>375984</v>
      </c>
      <c r="H42" s="427">
        <f>+H43+H44+H45+H46+H47+H48+H49+H50+H51</f>
        <v>375984</v>
      </c>
      <c r="I42" s="415">
        <f>+F42-G42</f>
        <v>3881306.29</v>
      </c>
      <c r="J42" s="305"/>
    </row>
    <row r="43" spans="1:10" x14ac:dyDescent="0.2">
      <c r="B43" s="416" t="s">
        <v>525</v>
      </c>
      <c r="C43" s="417"/>
      <c r="D43" s="418">
        <f>-SCOG!D37</f>
        <v>0</v>
      </c>
      <c r="E43" s="418">
        <f>-SCOG!F37</f>
        <v>0</v>
      </c>
      <c r="F43" s="419">
        <f t="shared" ref="F43:F51" si="7">+D43+E43</f>
        <v>0</v>
      </c>
      <c r="G43" s="420">
        <f>+SCOG!H37+SCOG!I37+SCOG!J37</f>
        <v>0</v>
      </c>
      <c r="H43" s="419">
        <f>SCOG!J37</f>
        <v>0</v>
      </c>
      <c r="I43" s="421">
        <f t="shared" si="1"/>
        <v>0</v>
      </c>
    </row>
    <row r="44" spans="1:10" x14ac:dyDescent="0.2">
      <c r="B44" s="416" t="s">
        <v>526</v>
      </c>
      <c r="C44" s="417"/>
      <c r="D44" s="418">
        <f>-SCOG!D38</f>
        <v>0</v>
      </c>
      <c r="E44" s="418">
        <f>-SCOG!F38</f>
        <v>0</v>
      </c>
      <c r="F44" s="419">
        <f t="shared" si="7"/>
        <v>0</v>
      </c>
      <c r="G44" s="420">
        <f>+SCOG!H38+SCOG!I38+SCOG!J38</f>
        <v>0</v>
      </c>
      <c r="H44" s="419">
        <f>SCOG!J38</f>
        <v>0</v>
      </c>
      <c r="I44" s="421">
        <f t="shared" si="1"/>
        <v>0</v>
      </c>
    </row>
    <row r="45" spans="1:10" x14ac:dyDescent="0.2">
      <c r="B45" s="416" t="s">
        <v>527</v>
      </c>
      <c r="C45" s="417"/>
      <c r="D45" s="418">
        <f>-SCOG!D39</f>
        <v>0</v>
      </c>
      <c r="E45" s="418">
        <f>-SCOG!F39</f>
        <v>0</v>
      </c>
      <c r="F45" s="419">
        <f t="shared" si="7"/>
        <v>0</v>
      </c>
      <c r="G45" s="420">
        <f>+SCOG!H39+SCOG!I39+SCOG!J39</f>
        <v>0</v>
      </c>
      <c r="H45" s="419">
        <f>SCOG!J39</f>
        <v>0</v>
      </c>
      <c r="I45" s="421">
        <f t="shared" si="1"/>
        <v>0</v>
      </c>
    </row>
    <row r="46" spans="1:10" x14ac:dyDescent="0.2">
      <c r="B46" s="416" t="s">
        <v>528</v>
      </c>
      <c r="C46" s="417"/>
      <c r="D46" s="418">
        <f>-SCOG!D40</f>
        <v>3022307</v>
      </c>
      <c r="E46" s="418">
        <f>-SCOG!F40</f>
        <v>587685.29</v>
      </c>
      <c r="F46" s="419">
        <f t="shared" si="7"/>
        <v>3609992.29</v>
      </c>
      <c r="G46" s="420">
        <f>+SCOG!H40+SCOG!I40+SCOG!J40</f>
        <v>288522</v>
      </c>
      <c r="H46" s="419">
        <f>SCOG!J40</f>
        <v>288522</v>
      </c>
      <c r="I46" s="421">
        <f t="shared" si="1"/>
        <v>3321470.29</v>
      </c>
    </row>
    <row r="47" spans="1:10" x14ac:dyDescent="0.2">
      <c r="B47" s="416" t="s">
        <v>529</v>
      </c>
      <c r="C47" s="417"/>
      <c r="D47" s="418">
        <f>-SCOG!D41</f>
        <v>647298</v>
      </c>
      <c r="E47" s="418">
        <f>-SCOG!F41</f>
        <v>0</v>
      </c>
      <c r="F47" s="419">
        <f t="shared" si="7"/>
        <v>647298</v>
      </c>
      <c r="G47" s="420">
        <f>+SCOG!H41+SCOG!I41+SCOG!J41</f>
        <v>87462</v>
      </c>
      <c r="H47" s="419">
        <f>SCOG!J41</f>
        <v>87462</v>
      </c>
      <c r="I47" s="421">
        <f t="shared" ref="I47:I85" si="8">+F47-G47</f>
        <v>559836</v>
      </c>
    </row>
    <row r="48" spans="1:10" x14ac:dyDescent="0.2">
      <c r="B48" s="416" t="s">
        <v>530</v>
      </c>
      <c r="C48" s="417"/>
      <c r="D48" s="418">
        <f>-SCOG!D42</f>
        <v>0</v>
      </c>
      <c r="E48" s="418">
        <f>-SCOG!F42</f>
        <v>0</v>
      </c>
      <c r="F48" s="419">
        <f t="shared" si="7"/>
        <v>0</v>
      </c>
      <c r="G48" s="420">
        <f>+SCOG!H42+SCOG!I42+SCOG!J42</f>
        <v>0</v>
      </c>
      <c r="H48" s="419">
        <f>SCOG!J42</f>
        <v>0</v>
      </c>
      <c r="I48" s="421">
        <f t="shared" si="8"/>
        <v>0</v>
      </c>
    </row>
    <row r="49" spans="1:10" x14ac:dyDescent="0.2">
      <c r="B49" s="416" t="s">
        <v>531</v>
      </c>
      <c r="C49" s="417"/>
      <c r="D49" s="418">
        <f>-SCOG!D43</f>
        <v>0</v>
      </c>
      <c r="E49" s="418">
        <f>-SCOG!F43</f>
        <v>0</v>
      </c>
      <c r="F49" s="419">
        <f t="shared" si="7"/>
        <v>0</v>
      </c>
      <c r="G49" s="420">
        <f>+SCOG!H43+SCOG!I43+SCOG!J43</f>
        <v>0</v>
      </c>
      <c r="H49" s="419">
        <f>SCOG!J43</f>
        <v>0</v>
      </c>
      <c r="I49" s="421">
        <f t="shared" si="8"/>
        <v>0</v>
      </c>
    </row>
    <row r="50" spans="1:10" x14ac:dyDescent="0.2">
      <c r="B50" s="416" t="s">
        <v>532</v>
      </c>
      <c r="C50" s="417"/>
      <c r="D50" s="418">
        <f>-SCOG!D44</f>
        <v>0</v>
      </c>
      <c r="E50" s="418">
        <f>-SCOG!F44</f>
        <v>0</v>
      </c>
      <c r="F50" s="419">
        <f t="shared" si="7"/>
        <v>0</v>
      </c>
      <c r="G50" s="420">
        <f>+SCOG!H44+SCOG!I44+SCOG!J44</f>
        <v>0</v>
      </c>
      <c r="H50" s="419">
        <f>SCOG!J44</f>
        <v>0</v>
      </c>
      <c r="I50" s="421">
        <f t="shared" si="8"/>
        <v>0</v>
      </c>
    </row>
    <row r="51" spans="1:10" x14ac:dyDescent="0.2">
      <c r="B51" s="416" t="s">
        <v>533</v>
      </c>
      <c r="C51" s="417"/>
      <c r="D51" s="418">
        <f>-SCOG!D45</f>
        <v>0</v>
      </c>
      <c r="E51" s="418">
        <f>-SCOG!F45</f>
        <v>0</v>
      </c>
      <c r="F51" s="419">
        <f t="shared" si="7"/>
        <v>0</v>
      </c>
      <c r="G51" s="420">
        <f>+SCOG!H45+SCOG!I45+SCOG!J45</f>
        <v>0</v>
      </c>
      <c r="H51" s="419">
        <f>SCOG!J45</f>
        <v>0</v>
      </c>
      <c r="I51" s="421">
        <f t="shared" si="8"/>
        <v>0</v>
      </c>
    </row>
    <row r="52" spans="1:10" s="361" customFormat="1" x14ac:dyDescent="0.2">
      <c r="A52" s="305"/>
      <c r="B52" s="424" t="s">
        <v>652</v>
      </c>
      <c r="C52" s="425"/>
      <c r="D52" s="429">
        <f>SUM(D53:D61)</f>
        <v>572100.68999999994</v>
      </c>
      <c r="E52" s="429">
        <f>SUM(E53:E61)</f>
        <v>3039181.3899999997</v>
      </c>
      <c r="F52" s="430">
        <f>SUM(F53:F61)</f>
        <v>3611282.0799999996</v>
      </c>
      <c r="G52" s="431">
        <f>SUM(G53:G61)</f>
        <v>1981007.77</v>
      </c>
      <c r="H52" s="430">
        <f>SUM(H53:H61)</f>
        <v>1981007.77</v>
      </c>
      <c r="I52" s="415">
        <f t="shared" si="8"/>
        <v>1630274.3099999996</v>
      </c>
      <c r="J52" s="305"/>
    </row>
    <row r="53" spans="1:10" x14ac:dyDescent="0.2">
      <c r="B53" s="668" t="s">
        <v>534</v>
      </c>
      <c r="C53" s="669"/>
      <c r="D53" s="418">
        <f>-SCOG!D46</f>
        <v>0</v>
      </c>
      <c r="E53" s="418">
        <f>-SCOG!F46</f>
        <v>2987605.28</v>
      </c>
      <c r="F53" s="419">
        <f t="shared" ref="F53:F61" si="9">+D53+E53</f>
        <v>2987605.28</v>
      </c>
      <c r="G53" s="420">
        <f>+SCOG!H46+SCOG!I46+SCOG!J46</f>
        <v>1408907.12</v>
      </c>
      <c r="H53" s="419">
        <f>SCOG!J46</f>
        <v>1408907.12</v>
      </c>
      <c r="I53" s="421">
        <f t="shared" si="8"/>
        <v>1578698.1599999997</v>
      </c>
    </row>
    <row r="54" spans="1:10" x14ac:dyDescent="0.2">
      <c r="B54" s="416" t="s">
        <v>535</v>
      </c>
      <c r="C54" s="417"/>
      <c r="D54" s="418">
        <f>-SCOG!D47</f>
        <v>0</v>
      </c>
      <c r="E54" s="418">
        <f>-SCOG!F47</f>
        <v>0</v>
      </c>
      <c r="F54" s="419">
        <f t="shared" si="9"/>
        <v>0</v>
      </c>
      <c r="G54" s="420">
        <f>+SCOG!H47+SCOG!I47+SCOG!J47</f>
        <v>0</v>
      </c>
      <c r="H54" s="419">
        <f>SCOG!J47</f>
        <v>0</v>
      </c>
      <c r="I54" s="421">
        <f t="shared" si="8"/>
        <v>0</v>
      </c>
    </row>
    <row r="55" spans="1:10" x14ac:dyDescent="0.2">
      <c r="B55" s="416" t="s">
        <v>536</v>
      </c>
      <c r="C55" s="417"/>
      <c r="D55" s="418">
        <f>-SCOG!D48</f>
        <v>0</v>
      </c>
      <c r="E55" s="418">
        <f>-SCOG!F48</f>
        <v>0</v>
      </c>
      <c r="F55" s="419">
        <f t="shared" si="9"/>
        <v>0</v>
      </c>
      <c r="G55" s="420">
        <f>+SCOG!H48+SCOG!I48+SCOG!J48</f>
        <v>0</v>
      </c>
      <c r="H55" s="419">
        <f>SCOG!J48</f>
        <v>0</v>
      </c>
      <c r="I55" s="421">
        <f t="shared" si="8"/>
        <v>0</v>
      </c>
    </row>
    <row r="56" spans="1:10" x14ac:dyDescent="0.2">
      <c r="B56" s="668" t="s">
        <v>537</v>
      </c>
      <c r="C56" s="669"/>
      <c r="D56" s="418">
        <f>-SCOG!D49</f>
        <v>0</v>
      </c>
      <c r="E56" s="418">
        <f>-SCOG!F49</f>
        <v>0</v>
      </c>
      <c r="F56" s="419">
        <f t="shared" si="9"/>
        <v>0</v>
      </c>
      <c r="G56" s="420">
        <f>+SCOG!H49+SCOG!I49+SCOG!J49</f>
        <v>0</v>
      </c>
      <c r="H56" s="419">
        <f>SCOG!J49</f>
        <v>0</v>
      </c>
      <c r="I56" s="421">
        <f t="shared" si="8"/>
        <v>0</v>
      </c>
    </row>
    <row r="57" spans="1:10" x14ac:dyDescent="0.2">
      <c r="B57" s="668" t="s">
        <v>538</v>
      </c>
      <c r="C57" s="669"/>
      <c r="D57" s="418">
        <f>-SCOG!D50</f>
        <v>0</v>
      </c>
      <c r="E57" s="418">
        <f>-SCOG!F50</f>
        <v>0</v>
      </c>
      <c r="F57" s="419">
        <f t="shared" si="9"/>
        <v>0</v>
      </c>
      <c r="G57" s="420">
        <f>+SCOG!H50+SCOG!I50+SCOG!J50</f>
        <v>0</v>
      </c>
      <c r="H57" s="419">
        <f>SCOG!J50</f>
        <v>0</v>
      </c>
      <c r="I57" s="421">
        <f t="shared" si="8"/>
        <v>0</v>
      </c>
    </row>
    <row r="58" spans="1:10" x14ac:dyDescent="0.2">
      <c r="B58" s="668" t="s">
        <v>539</v>
      </c>
      <c r="C58" s="669"/>
      <c r="D58" s="418">
        <f>-SCOG!D51</f>
        <v>572100.68999999994</v>
      </c>
      <c r="E58" s="418">
        <f>-SCOG!F51</f>
        <v>0</v>
      </c>
      <c r="F58" s="419">
        <f t="shared" si="9"/>
        <v>572100.68999999994</v>
      </c>
      <c r="G58" s="420">
        <f>+SCOG!H51+SCOG!I51+SCOG!J51</f>
        <v>572100.65</v>
      </c>
      <c r="H58" s="419">
        <f>SCOG!J51</f>
        <v>572100.65</v>
      </c>
      <c r="I58" s="421">
        <f t="shared" si="8"/>
        <v>3.9999999920837581E-2</v>
      </c>
    </row>
    <row r="59" spans="1:10" x14ac:dyDescent="0.2">
      <c r="B59" s="422" t="s">
        <v>540</v>
      </c>
      <c r="C59" s="423"/>
      <c r="D59" s="418">
        <f>-SCOG!D52</f>
        <v>0</v>
      </c>
      <c r="E59" s="418">
        <f>-SCOG!F52</f>
        <v>0</v>
      </c>
      <c r="F59" s="419">
        <f t="shared" si="9"/>
        <v>0</v>
      </c>
      <c r="G59" s="420">
        <f>+SCOG!H52+SCOG!I52+SCOG!J52</f>
        <v>0</v>
      </c>
      <c r="H59" s="419">
        <f>SCOG!J52</f>
        <v>0</v>
      </c>
      <c r="I59" s="421">
        <f t="shared" si="8"/>
        <v>0</v>
      </c>
    </row>
    <row r="60" spans="1:10" x14ac:dyDescent="0.2">
      <c r="B60" s="416" t="s">
        <v>541</v>
      </c>
      <c r="C60" s="417"/>
      <c r="D60" s="418">
        <f>-SCOG!D53</f>
        <v>0</v>
      </c>
      <c r="E60" s="418">
        <f>-SCOG!F53</f>
        <v>51576.11</v>
      </c>
      <c r="F60" s="419">
        <f t="shared" si="9"/>
        <v>51576.11</v>
      </c>
      <c r="G60" s="420">
        <f>+SCOG!H53+SCOG!I53+SCOG!J53</f>
        <v>0</v>
      </c>
      <c r="H60" s="419">
        <f>SCOG!J53</f>
        <v>0</v>
      </c>
      <c r="I60" s="421">
        <f t="shared" si="8"/>
        <v>51576.11</v>
      </c>
    </row>
    <row r="61" spans="1:10" x14ac:dyDescent="0.2">
      <c r="B61" s="416" t="s">
        <v>542</v>
      </c>
      <c r="C61" s="417"/>
      <c r="D61" s="418">
        <f>-SCOG!D54</f>
        <v>0</v>
      </c>
      <c r="E61" s="418">
        <f>-SCOG!F54</f>
        <v>0</v>
      </c>
      <c r="F61" s="419">
        <f t="shared" si="9"/>
        <v>0</v>
      </c>
      <c r="G61" s="420">
        <f>+SCOG!H54+SCOG!I54+SCOG!J54</f>
        <v>0</v>
      </c>
      <c r="H61" s="419">
        <f>SCOG!J54</f>
        <v>0</v>
      </c>
      <c r="I61" s="421">
        <f t="shared" si="8"/>
        <v>0</v>
      </c>
    </row>
    <row r="62" spans="1:10" s="361" customFormat="1" x14ac:dyDescent="0.2">
      <c r="A62" s="305"/>
      <c r="B62" s="424" t="s">
        <v>543</v>
      </c>
      <c r="C62" s="425"/>
      <c r="D62" s="413">
        <f>SUM(D63:D65)</f>
        <v>0</v>
      </c>
      <c r="E62" s="413">
        <f>SUM(E63:E65)</f>
        <v>0</v>
      </c>
      <c r="F62" s="414">
        <f>SUM(F63:F65)</f>
        <v>0</v>
      </c>
      <c r="G62" s="415">
        <f>SUM(G63:G65)</f>
        <v>0</v>
      </c>
      <c r="H62" s="414">
        <f>SUM(H63:H65)</f>
        <v>0</v>
      </c>
      <c r="I62" s="415">
        <f t="shared" si="8"/>
        <v>0</v>
      </c>
      <c r="J62" s="305"/>
    </row>
    <row r="63" spans="1:10" x14ac:dyDescent="0.2">
      <c r="B63" s="416" t="s">
        <v>544</v>
      </c>
      <c r="C63" s="417"/>
      <c r="D63" s="418">
        <f>-SCOG!D55</f>
        <v>0</v>
      </c>
      <c r="E63" s="418">
        <f>-SCOG!F55</f>
        <v>0</v>
      </c>
      <c r="F63" s="419">
        <f>+D63+E63</f>
        <v>0</v>
      </c>
      <c r="G63" s="420">
        <f>+SCOG!H55+SCOG!I55+SCOG!J55</f>
        <v>0</v>
      </c>
      <c r="H63" s="419">
        <f>SCOG!J55</f>
        <v>0</v>
      </c>
      <c r="I63" s="421">
        <f t="shared" si="8"/>
        <v>0</v>
      </c>
    </row>
    <row r="64" spans="1:10" x14ac:dyDescent="0.2">
      <c r="B64" s="668" t="s">
        <v>545</v>
      </c>
      <c r="C64" s="669"/>
      <c r="D64" s="418">
        <f>-SCOG!D56</f>
        <v>0</v>
      </c>
      <c r="E64" s="418">
        <f>-SCOG!F56</f>
        <v>0</v>
      </c>
      <c r="F64" s="419">
        <f>+D64+E64</f>
        <v>0</v>
      </c>
      <c r="G64" s="420">
        <f>+SCOG!H56+SCOG!I56+SCOG!J56</f>
        <v>0</v>
      </c>
      <c r="H64" s="419">
        <f>SCOG!J56</f>
        <v>0</v>
      </c>
      <c r="I64" s="421">
        <f t="shared" si="8"/>
        <v>0</v>
      </c>
    </row>
    <row r="65" spans="1:10" x14ac:dyDescent="0.2">
      <c r="B65" s="668" t="s">
        <v>546</v>
      </c>
      <c r="C65" s="669"/>
      <c r="D65" s="418">
        <f>-SCOG!D57</f>
        <v>0</v>
      </c>
      <c r="E65" s="418">
        <f>-SCOG!F57</f>
        <v>0</v>
      </c>
      <c r="F65" s="419">
        <f>+D65+E65</f>
        <v>0</v>
      </c>
      <c r="G65" s="420">
        <f>+SCOG!H57+SCOG!I57+SCOG!J57</f>
        <v>0</v>
      </c>
      <c r="H65" s="419">
        <f>SCOG!J57</f>
        <v>0</v>
      </c>
      <c r="I65" s="421">
        <f t="shared" si="8"/>
        <v>0</v>
      </c>
    </row>
    <row r="66" spans="1:10" s="361" customFormat="1" x14ac:dyDescent="0.2">
      <c r="A66" s="305"/>
      <c r="B66" s="666" t="s">
        <v>653</v>
      </c>
      <c r="C66" s="667"/>
      <c r="D66" s="426">
        <f>SUM(D67:D73)</f>
        <v>0</v>
      </c>
      <c r="E66" s="426">
        <f>SUM(E67:E73)</f>
        <v>0</v>
      </c>
      <c r="F66" s="427">
        <f>SUM(F67:F73)</f>
        <v>0</v>
      </c>
      <c r="G66" s="428">
        <f>SUM(G67:G73)</f>
        <v>0</v>
      </c>
      <c r="H66" s="427">
        <f>SUM(H67:H73)</f>
        <v>0</v>
      </c>
      <c r="I66" s="415">
        <f t="shared" si="8"/>
        <v>0</v>
      </c>
      <c r="J66" s="305"/>
    </row>
    <row r="67" spans="1:10" x14ac:dyDescent="0.2">
      <c r="B67" s="416" t="s">
        <v>547</v>
      </c>
      <c r="C67" s="417"/>
      <c r="D67" s="418">
        <f>-SCOG!D58</f>
        <v>0</v>
      </c>
      <c r="E67" s="418">
        <f>-SCOG!F58</f>
        <v>0</v>
      </c>
      <c r="F67" s="419">
        <f t="shared" ref="F67:F73" si="10">+D67+E67</f>
        <v>0</v>
      </c>
      <c r="G67" s="420">
        <f>+SCOG!H58+SCOG!I58+SCOG!J58</f>
        <v>0</v>
      </c>
      <c r="H67" s="419">
        <f>SCOG!J58</f>
        <v>0</v>
      </c>
      <c r="I67" s="421">
        <f t="shared" si="8"/>
        <v>0</v>
      </c>
    </row>
    <row r="68" spans="1:10" x14ac:dyDescent="0.2">
      <c r="B68" s="668" t="s">
        <v>548</v>
      </c>
      <c r="C68" s="669"/>
      <c r="D68" s="418">
        <f>-SCOG!D59</f>
        <v>0</v>
      </c>
      <c r="E68" s="418">
        <f>-SCOG!F59</f>
        <v>0</v>
      </c>
      <c r="F68" s="419">
        <f t="shared" si="10"/>
        <v>0</v>
      </c>
      <c r="G68" s="420">
        <f>+SCOG!H59+SCOG!I59+SCOG!J59</f>
        <v>0</v>
      </c>
      <c r="H68" s="419">
        <f>SCOG!J59</f>
        <v>0</v>
      </c>
      <c r="I68" s="421">
        <f t="shared" si="8"/>
        <v>0</v>
      </c>
    </row>
    <row r="69" spans="1:10" x14ac:dyDescent="0.2">
      <c r="B69" s="416" t="s">
        <v>549</v>
      </c>
      <c r="C69" s="417"/>
      <c r="D69" s="418">
        <f>-SCOG!D60</f>
        <v>0</v>
      </c>
      <c r="E69" s="418">
        <f>-SCOG!F60</f>
        <v>0</v>
      </c>
      <c r="F69" s="419">
        <f t="shared" si="10"/>
        <v>0</v>
      </c>
      <c r="G69" s="420">
        <f>+SCOG!H60+SCOG!I60+SCOG!J60</f>
        <v>0</v>
      </c>
      <c r="H69" s="419">
        <f>SCOG!J60</f>
        <v>0</v>
      </c>
      <c r="I69" s="421">
        <f t="shared" si="8"/>
        <v>0</v>
      </c>
    </row>
    <row r="70" spans="1:10" x14ac:dyDescent="0.2">
      <c r="B70" s="416" t="s">
        <v>550</v>
      </c>
      <c r="C70" s="417"/>
      <c r="D70" s="418">
        <f>-SCOG!D61</f>
        <v>0</v>
      </c>
      <c r="E70" s="418">
        <f>-SCOG!F61</f>
        <v>0</v>
      </c>
      <c r="F70" s="419">
        <f t="shared" si="10"/>
        <v>0</v>
      </c>
      <c r="G70" s="420">
        <f>+SCOG!H61+SCOG!I61+SCOG!J61</f>
        <v>0</v>
      </c>
      <c r="H70" s="419">
        <f>SCOG!J61</f>
        <v>0</v>
      </c>
      <c r="I70" s="421">
        <f t="shared" si="8"/>
        <v>0</v>
      </c>
    </row>
    <row r="71" spans="1:10" ht="24.75" customHeight="1" x14ac:dyDescent="0.2">
      <c r="B71" s="668" t="s">
        <v>773</v>
      </c>
      <c r="C71" s="669"/>
      <c r="D71" s="418">
        <f>-SCOG!D62</f>
        <v>0</v>
      </c>
      <c r="E71" s="418">
        <f>-SCOG!F62</f>
        <v>0</v>
      </c>
      <c r="F71" s="419">
        <f t="shared" si="10"/>
        <v>0</v>
      </c>
      <c r="G71" s="420">
        <f>+SCOG!H62+SCOG!I62+SCOG!J62</f>
        <v>0</v>
      </c>
      <c r="H71" s="419">
        <f>SCOG!J62</f>
        <v>0</v>
      </c>
      <c r="I71" s="421">
        <f t="shared" si="8"/>
        <v>0</v>
      </c>
    </row>
    <row r="72" spans="1:10" x14ac:dyDescent="0.2">
      <c r="B72" s="416" t="s">
        <v>551</v>
      </c>
      <c r="C72" s="417"/>
      <c r="D72" s="418">
        <f>-SCOG!D63</f>
        <v>0</v>
      </c>
      <c r="E72" s="418">
        <f>-SCOG!F63</f>
        <v>0</v>
      </c>
      <c r="F72" s="419">
        <f t="shared" si="10"/>
        <v>0</v>
      </c>
      <c r="G72" s="420">
        <f>+SCOG!H63+SCOG!I63+SCOG!J63</f>
        <v>0</v>
      </c>
      <c r="H72" s="419">
        <f>SCOG!J63</f>
        <v>0</v>
      </c>
      <c r="I72" s="421">
        <f t="shared" si="8"/>
        <v>0</v>
      </c>
    </row>
    <row r="73" spans="1:10" x14ac:dyDescent="0.2">
      <c r="B73" s="668" t="s">
        <v>552</v>
      </c>
      <c r="C73" s="669"/>
      <c r="D73" s="418">
        <f>-SCOG!D64</f>
        <v>0</v>
      </c>
      <c r="E73" s="418">
        <f>-SCOG!F64</f>
        <v>0</v>
      </c>
      <c r="F73" s="419">
        <f t="shared" si="10"/>
        <v>0</v>
      </c>
      <c r="G73" s="420">
        <f>+SCOG!H64+SCOG!I64+SCOG!J64</f>
        <v>0</v>
      </c>
      <c r="H73" s="419">
        <f>SCOG!J64</f>
        <v>0</v>
      </c>
      <c r="I73" s="421">
        <f t="shared" si="8"/>
        <v>0</v>
      </c>
    </row>
    <row r="74" spans="1:10" s="361" customFormat="1" x14ac:dyDescent="0.2">
      <c r="A74" s="305"/>
      <c r="B74" s="666" t="s">
        <v>553</v>
      </c>
      <c r="C74" s="667"/>
      <c r="D74" s="432">
        <f>SUM(D75:D77)</f>
        <v>0</v>
      </c>
      <c r="E74" s="432">
        <f>SUM(E75:E77)</f>
        <v>0</v>
      </c>
      <c r="F74" s="433">
        <f t="shared" ref="F74:G74" si="11">SUM(F75:F77)</f>
        <v>0</v>
      </c>
      <c r="G74" s="434">
        <f t="shared" si="11"/>
        <v>0</v>
      </c>
      <c r="H74" s="433">
        <f>SUM(H75:H77)</f>
        <v>0</v>
      </c>
      <c r="I74" s="415">
        <f t="shared" si="8"/>
        <v>0</v>
      </c>
      <c r="J74" s="305"/>
    </row>
    <row r="75" spans="1:10" x14ac:dyDescent="0.2">
      <c r="B75" s="422" t="s">
        <v>554</v>
      </c>
      <c r="C75" s="423"/>
      <c r="D75" s="418">
        <f>-SCOG!D65</f>
        <v>0</v>
      </c>
      <c r="E75" s="418">
        <f>-SCOG!F65</f>
        <v>0</v>
      </c>
      <c r="F75" s="419">
        <f>+D75+E75</f>
        <v>0</v>
      </c>
      <c r="G75" s="420">
        <f>+SCOG!H65+SCOG!I65+SCOG!J65</f>
        <v>0</v>
      </c>
      <c r="H75" s="419">
        <f>SCOG!J65</f>
        <v>0</v>
      </c>
      <c r="I75" s="421">
        <f t="shared" si="8"/>
        <v>0</v>
      </c>
    </row>
    <row r="76" spans="1:10" x14ac:dyDescent="0.2">
      <c r="B76" s="416" t="s">
        <v>555</v>
      </c>
      <c r="C76" s="417"/>
      <c r="D76" s="418">
        <f>-SCOG!D66</f>
        <v>0</v>
      </c>
      <c r="E76" s="418">
        <f>-SCOG!F66</f>
        <v>0</v>
      </c>
      <c r="F76" s="419">
        <f>+D76+E76</f>
        <v>0</v>
      </c>
      <c r="G76" s="420">
        <f>+SCOG!H66+SCOG!I66+SCOG!J66</f>
        <v>0</v>
      </c>
      <c r="H76" s="419">
        <f>SCOG!J66</f>
        <v>0</v>
      </c>
      <c r="I76" s="421">
        <f t="shared" si="8"/>
        <v>0</v>
      </c>
    </row>
    <row r="77" spans="1:10" x14ac:dyDescent="0.2">
      <c r="B77" s="416" t="s">
        <v>556</v>
      </c>
      <c r="C77" s="417"/>
      <c r="D77" s="418">
        <f>-SCOG!D67</f>
        <v>0</v>
      </c>
      <c r="E77" s="418">
        <f>-SCOG!F67</f>
        <v>0</v>
      </c>
      <c r="F77" s="419">
        <f>+D77+E77</f>
        <v>0</v>
      </c>
      <c r="G77" s="420">
        <f>+SCOG!H67+SCOG!I67+SCOG!J67</f>
        <v>0</v>
      </c>
      <c r="H77" s="419">
        <f>SCOG!J67</f>
        <v>0</v>
      </c>
      <c r="I77" s="421">
        <f t="shared" si="8"/>
        <v>0</v>
      </c>
    </row>
    <row r="78" spans="1:10" s="361" customFormat="1" x14ac:dyDescent="0.2">
      <c r="A78" s="305"/>
      <c r="B78" s="424" t="s">
        <v>557</v>
      </c>
      <c r="C78" s="425"/>
      <c r="D78" s="432">
        <f>SUM(D79:D85)</f>
        <v>0</v>
      </c>
      <c r="E78" s="432">
        <f>SUM(E79:E85)</f>
        <v>0</v>
      </c>
      <c r="F78" s="433">
        <f t="shared" ref="F78:G78" si="12">SUM(F79:F85)</f>
        <v>0</v>
      </c>
      <c r="G78" s="434">
        <f t="shared" si="12"/>
        <v>0</v>
      </c>
      <c r="H78" s="433">
        <f>SUM(H79:H85)</f>
        <v>0</v>
      </c>
      <c r="I78" s="415">
        <f t="shared" si="8"/>
        <v>0</v>
      </c>
      <c r="J78" s="305"/>
    </row>
    <row r="79" spans="1:10" x14ac:dyDescent="0.2">
      <c r="B79" s="416" t="s">
        <v>558</v>
      </c>
      <c r="C79" s="417"/>
      <c r="D79" s="418">
        <f>-SCOG!D68</f>
        <v>0</v>
      </c>
      <c r="E79" s="418">
        <f>-SCOG!F68</f>
        <v>0</v>
      </c>
      <c r="F79" s="419">
        <f t="shared" ref="F79:F85" si="13">+D79+E79</f>
        <v>0</v>
      </c>
      <c r="G79" s="420">
        <f>+SCOG!H68+SCOG!I68+SCOG!J68</f>
        <v>0</v>
      </c>
      <c r="H79" s="419">
        <f>SCOG!J68</f>
        <v>0</v>
      </c>
      <c r="I79" s="421">
        <f t="shared" si="8"/>
        <v>0</v>
      </c>
    </row>
    <row r="80" spans="1:10" x14ac:dyDescent="0.2">
      <c r="B80" s="416" t="s">
        <v>559</v>
      </c>
      <c r="C80" s="417"/>
      <c r="D80" s="418">
        <f>-SCOG!D69</f>
        <v>0</v>
      </c>
      <c r="E80" s="418">
        <f>-SCOG!F69</f>
        <v>0</v>
      </c>
      <c r="F80" s="419">
        <f t="shared" si="13"/>
        <v>0</v>
      </c>
      <c r="G80" s="420">
        <f>+SCOG!H69+SCOG!I69+SCOG!J69</f>
        <v>0</v>
      </c>
      <c r="H80" s="419">
        <f>SCOG!J69</f>
        <v>0</v>
      </c>
      <c r="I80" s="421">
        <f t="shared" si="8"/>
        <v>0</v>
      </c>
    </row>
    <row r="81" spans="2:9" x14ac:dyDescent="0.2">
      <c r="B81" s="416" t="s">
        <v>560</v>
      </c>
      <c r="C81" s="417"/>
      <c r="D81" s="418">
        <f>-SCOG!D70</f>
        <v>0</v>
      </c>
      <c r="E81" s="418">
        <f>-SCOG!F70</f>
        <v>0</v>
      </c>
      <c r="F81" s="419">
        <f t="shared" si="13"/>
        <v>0</v>
      </c>
      <c r="G81" s="420">
        <f>+SCOG!H70+SCOG!I70+SCOG!J70</f>
        <v>0</v>
      </c>
      <c r="H81" s="419">
        <f>SCOG!J70</f>
        <v>0</v>
      </c>
      <c r="I81" s="421">
        <f t="shared" si="8"/>
        <v>0</v>
      </c>
    </row>
    <row r="82" spans="2:9" x14ac:dyDescent="0.2">
      <c r="B82" s="416" t="s">
        <v>561</v>
      </c>
      <c r="C82" s="417"/>
      <c r="D82" s="418">
        <f>-SCOG!D71</f>
        <v>0</v>
      </c>
      <c r="E82" s="418">
        <f>-SCOG!F71</f>
        <v>0</v>
      </c>
      <c r="F82" s="419">
        <f t="shared" si="13"/>
        <v>0</v>
      </c>
      <c r="G82" s="420">
        <f>+SCOG!H71+SCOG!I71+SCOG!J71</f>
        <v>0</v>
      </c>
      <c r="H82" s="419">
        <f>SCOG!J71</f>
        <v>0</v>
      </c>
      <c r="I82" s="421">
        <f t="shared" si="8"/>
        <v>0</v>
      </c>
    </row>
    <row r="83" spans="2:9" x14ac:dyDescent="0.2">
      <c r="B83" s="416" t="s">
        <v>562</v>
      </c>
      <c r="C83" s="417"/>
      <c r="D83" s="418">
        <f>-SCOG!D72</f>
        <v>0</v>
      </c>
      <c r="E83" s="418">
        <f>-SCOG!F72</f>
        <v>0</v>
      </c>
      <c r="F83" s="419">
        <f t="shared" si="13"/>
        <v>0</v>
      </c>
      <c r="G83" s="420">
        <f>+SCOG!H72+SCOG!I72+SCOG!J72</f>
        <v>0</v>
      </c>
      <c r="H83" s="419">
        <f>SCOG!J72</f>
        <v>0</v>
      </c>
      <c r="I83" s="421">
        <f t="shared" si="8"/>
        <v>0</v>
      </c>
    </row>
    <row r="84" spans="2:9" x14ac:dyDescent="0.2">
      <c r="B84" s="416" t="s">
        <v>563</v>
      </c>
      <c r="C84" s="417"/>
      <c r="D84" s="418">
        <f>-SCOG!D73</f>
        <v>0</v>
      </c>
      <c r="E84" s="418">
        <f>-SCOG!F73</f>
        <v>0</v>
      </c>
      <c r="F84" s="419">
        <f t="shared" si="13"/>
        <v>0</v>
      </c>
      <c r="G84" s="420">
        <f>+SCOG!H73+SCOG!I73+SCOG!J73</f>
        <v>0</v>
      </c>
      <c r="H84" s="419">
        <f>SCOG!J73</f>
        <v>0</v>
      </c>
      <c r="I84" s="421">
        <f t="shared" si="8"/>
        <v>0</v>
      </c>
    </row>
    <row r="85" spans="2:9" x14ac:dyDescent="0.2">
      <c r="B85" s="416" t="s">
        <v>564</v>
      </c>
      <c r="C85" s="417"/>
      <c r="D85" s="418">
        <f>-SCOG!D74</f>
        <v>0</v>
      </c>
      <c r="E85" s="418">
        <f>-SCOG!F74</f>
        <v>0</v>
      </c>
      <c r="F85" s="419">
        <f t="shared" si="13"/>
        <v>0</v>
      </c>
      <c r="G85" s="420">
        <f>+SCOG!H74+SCOG!I74+SCOG!J74</f>
        <v>0</v>
      </c>
      <c r="H85" s="419">
        <f>SCOG!J74</f>
        <v>0</v>
      </c>
      <c r="I85" s="421">
        <f t="shared" si="8"/>
        <v>0</v>
      </c>
    </row>
    <row r="86" spans="2:9" x14ac:dyDescent="0.2">
      <c r="B86" s="435"/>
      <c r="C86" s="436"/>
      <c r="D86" s="437"/>
      <c r="E86" s="437"/>
      <c r="F86" s="438"/>
      <c r="G86" s="439"/>
      <c r="H86" s="438"/>
      <c r="I86" s="440"/>
    </row>
    <row r="87" spans="2:9" x14ac:dyDescent="0.2">
      <c r="B87" s="441"/>
      <c r="C87" s="441"/>
      <c r="D87" s="442"/>
      <c r="E87" s="442"/>
      <c r="F87" s="442"/>
      <c r="G87" s="442"/>
      <c r="H87" s="442"/>
      <c r="I87" s="442"/>
    </row>
    <row r="88" spans="2:9" x14ac:dyDescent="0.2">
      <c r="B88" s="443"/>
      <c r="C88" s="443"/>
      <c r="D88" s="444"/>
      <c r="E88" s="444"/>
      <c r="F88" s="444"/>
      <c r="G88" s="444"/>
      <c r="H88" s="444"/>
      <c r="I88" s="444"/>
    </row>
    <row r="89" spans="2:9" x14ac:dyDescent="0.2">
      <c r="B89" s="443"/>
      <c r="C89" s="443"/>
      <c r="D89" s="444"/>
      <c r="E89" s="444"/>
      <c r="F89" s="444"/>
      <c r="G89" s="444"/>
      <c r="H89" s="444"/>
      <c r="I89" s="444"/>
    </row>
    <row r="90" spans="2:9" x14ac:dyDescent="0.2">
      <c r="B90" s="425"/>
      <c r="C90" s="425"/>
      <c r="D90" s="445"/>
      <c r="E90" s="445"/>
      <c r="F90" s="445"/>
      <c r="G90" s="445"/>
      <c r="H90" s="445"/>
      <c r="I90" s="445"/>
    </row>
    <row r="91" spans="2:9" x14ac:dyDescent="0.2">
      <c r="B91" s="670" t="s">
        <v>392</v>
      </c>
      <c r="C91" s="670"/>
      <c r="D91" s="670"/>
      <c r="E91" s="670"/>
      <c r="F91" s="670"/>
      <c r="G91" s="670"/>
      <c r="H91" s="670"/>
      <c r="I91" s="670"/>
    </row>
    <row r="92" spans="2:9" x14ac:dyDescent="0.2">
      <c r="B92" s="671" t="s">
        <v>638</v>
      </c>
      <c r="C92" s="671"/>
      <c r="D92" s="671"/>
      <c r="E92" s="671"/>
      <c r="F92" s="671"/>
      <c r="G92" s="671"/>
      <c r="H92" s="671"/>
      <c r="I92" s="671"/>
    </row>
    <row r="93" spans="2:9" x14ac:dyDescent="0.2">
      <c r="B93" s="671" t="s">
        <v>639</v>
      </c>
      <c r="C93" s="671"/>
      <c r="D93" s="671"/>
      <c r="E93" s="671"/>
      <c r="F93" s="671"/>
      <c r="G93" s="671"/>
      <c r="H93" s="671"/>
      <c r="I93" s="671"/>
    </row>
    <row r="94" spans="2:9" x14ac:dyDescent="0.2">
      <c r="B94" s="671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94" s="671"/>
      <c r="D94" s="671"/>
      <c r="E94" s="671"/>
      <c r="F94" s="671"/>
      <c r="G94" s="671"/>
      <c r="H94" s="671"/>
      <c r="I94" s="671"/>
    </row>
    <row r="95" spans="2:9" x14ac:dyDescent="0.2">
      <c r="B95" s="671" t="s">
        <v>92</v>
      </c>
      <c r="C95" s="671"/>
      <c r="D95" s="671"/>
      <c r="E95" s="671"/>
      <c r="F95" s="671"/>
      <c r="G95" s="671"/>
      <c r="H95" s="671"/>
      <c r="I95" s="671"/>
    </row>
    <row r="96" spans="2:9" x14ac:dyDescent="0.2">
      <c r="B96" s="446"/>
      <c r="C96" s="446"/>
      <c r="D96" s="446"/>
      <c r="E96" s="446"/>
      <c r="F96" s="446"/>
      <c r="G96" s="446"/>
      <c r="H96" s="446"/>
      <c r="I96" s="446"/>
    </row>
    <row r="97" spans="1:10" x14ac:dyDescent="0.2">
      <c r="B97" s="363" t="s">
        <v>4</v>
      </c>
      <c r="C97" s="680" t="str">
        <f>+ENTE!D8</f>
        <v xml:space="preserve">UNIVERSIDAD TECNOLÓGICA DE SAN JUAN DEL RÍO </v>
      </c>
      <c r="D97" s="680"/>
      <c r="E97" s="680"/>
      <c r="F97" s="680"/>
      <c r="G97" s="680"/>
      <c r="H97" s="680"/>
      <c r="I97" s="446"/>
    </row>
    <row r="98" spans="1:10" x14ac:dyDescent="0.2">
      <c r="B98" s="417"/>
      <c r="C98" s="417"/>
      <c r="D98" s="447"/>
      <c r="E98" s="447"/>
      <c r="F98" s="447"/>
      <c r="G98" s="447"/>
      <c r="H98" s="447"/>
      <c r="I98" s="447"/>
    </row>
    <row r="99" spans="1:10" x14ac:dyDescent="0.2">
      <c r="B99" s="676" t="s">
        <v>393</v>
      </c>
      <c r="C99" s="677"/>
      <c r="D99" s="672" t="s">
        <v>494</v>
      </c>
      <c r="E99" s="673"/>
      <c r="F99" s="673"/>
      <c r="G99" s="673"/>
      <c r="H99" s="673"/>
      <c r="I99" s="674" t="s">
        <v>645</v>
      </c>
    </row>
    <row r="100" spans="1:10" ht="24" x14ac:dyDescent="0.2">
      <c r="B100" s="678"/>
      <c r="C100" s="679"/>
      <c r="D100" s="448" t="s">
        <v>495</v>
      </c>
      <c r="E100" s="448" t="s">
        <v>244</v>
      </c>
      <c r="F100" s="449" t="s">
        <v>220</v>
      </c>
      <c r="G100" s="450" t="s">
        <v>221</v>
      </c>
      <c r="H100" s="450" t="s">
        <v>245</v>
      </c>
      <c r="I100" s="675"/>
    </row>
    <row r="101" spans="1:10" x14ac:dyDescent="0.2">
      <c r="B101" s="416"/>
      <c r="C101" s="417"/>
      <c r="D101" s="451"/>
      <c r="E101" s="451"/>
      <c r="F101" s="452"/>
      <c r="G101" s="453"/>
      <c r="H101" s="453"/>
      <c r="I101" s="453"/>
    </row>
    <row r="102" spans="1:10" x14ac:dyDescent="0.2">
      <c r="B102" s="424" t="s">
        <v>565</v>
      </c>
      <c r="C102" s="425"/>
      <c r="D102" s="432">
        <f>+D103+D111+D121+D131+D141+D151+D155+D163+D167</f>
        <v>0</v>
      </c>
      <c r="E102" s="432">
        <f>+E103+E111+E121+E131+E141+E151+E155+E163+E167</f>
        <v>2506270</v>
      </c>
      <c r="F102" s="433">
        <f>+F103+F111+F121+F131+F141+F151+F155+F163+F167</f>
        <v>2506270</v>
      </c>
      <c r="G102" s="434">
        <f>+G103+G111+G121+G131+G141+G151+G155+G163+G167</f>
        <v>14500</v>
      </c>
      <c r="H102" s="433">
        <f>+H103+H111+H121+H131+H141+H151+H155+H163+H167</f>
        <v>14500</v>
      </c>
      <c r="I102" s="415">
        <f>+F102-G102</f>
        <v>2491770</v>
      </c>
    </row>
    <row r="103" spans="1:10" s="361" customFormat="1" x14ac:dyDescent="0.2">
      <c r="A103" s="305"/>
      <c r="B103" s="690" t="s">
        <v>497</v>
      </c>
      <c r="C103" s="691"/>
      <c r="D103" s="432">
        <f>SUM(D104:D110)</f>
        <v>0</v>
      </c>
      <c r="E103" s="432">
        <f>SUM(E104:E110)</f>
        <v>0</v>
      </c>
      <c r="F103" s="433">
        <f>SUM(F104:F110)</f>
        <v>0</v>
      </c>
      <c r="G103" s="434">
        <f>SUM(G104:G110)</f>
        <v>0</v>
      </c>
      <c r="H103" s="433">
        <f>SUM(H104:H110)</f>
        <v>0</v>
      </c>
      <c r="I103" s="415">
        <f t="shared" ref="I103:I137" si="14">+F103-G103</f>
        <v>0</v>
      </c>
      <c r="J103" s="305"/>
    </row>
    <row r="104" spans="1:10" x14ac:dyDescent="0.2">
      <c r="B104" s="416" t="s">
        <v>498</v>
      </c>
      <c r="C104" s="417"/>
      <c r="D104" s="418">
        <f>-SCOG!D76</f>
        <v>0</v>
      </c>
      <c r="E104" s="418">
        <f>-SCOG!F76</f>
        <v>0</v>
      </c>
      <c r="F104" s="419">
        <f t="shared" ref="F104:F110" si="15">+D104+E104</f>
        <v>0</v>
      </c>
      <c r="G104" s="420">
        <f>+SCOG!H76+SCOG!I76+SCOG!J76</f>
        <v>0</v>
      </c>
      <c r="H104" s="419">
        <f>SCOG!J76</f>
        <v>0</v>
      </c>
      <c r="I104" s="421">
        <f t="shared" si="14"/>
        <v>0</v>
      </c>
    </row>
    <row r="105" spans="1:10" x14ac:dyDescent="0.2">
      <c r="B105" s="416" t="s">
        <v>499</v>
      </c>
      <c r="C105" s="417"/>
      <c r="D105" s="418">
        <f>-SCOG!D77</f>
        <v>0</v>
      </c>
      <c r="E105" s="418">
        <f>-SCOG!F77</f>
        <v>0</v>
      </c>
      <c r="F105" s="419">
        <f t="shared" si="15"/>
        <v>0</v>
      </c>
      <c r="G105" s="420">
        <f>+SCOG!H77+SCOG!I77+SCOG!J77</f>
        <v>0</v>
      </c>
      <c r="H105" s="419">
        <f>SCOG!J77</f>
        <v>0</v>
      </c>
      <c r="I105" s="421">
        <f t="shared" si="14"/>
        <v>0</v>
      </c>
    </row>
    <row r="106" spans="1:10" x14ac:dyDescent="0.2">
      <c r="B106" s="416" t="s">
        <v>500</v>
      </c>
      <c r="C106" s="417"/>
      <c r="D106" s="418">
        <f>-SCOG!D78</f>
        <v>0</v>
      </c>
      <c r="E106" s="418">
        <f>-SCOG!F78</f>
        <v>0</v>
      </c>
      <c r="F106" s="419">
        <f t="shared" si="15"/>
        <v>0</v>
      </c>
      <c r="G106" s="420">
        <f>+SCOG!H78+SCOG!I78+SCOG!J78</f>
        <v>0</v>
      </c>
      <c r="H106" s="419">
        <f>SCOG!J78</f>
        <v>0</v>
      </c>
      <c r="I106" s="421">
        <f t="shared" si="14"/>
        <v>0</v>
      </c>
    </row>
    <row r="107" spans="1:10" x14ac:dyDescent="0.2">
      <c r="B107" s="416" t="s">
        <v>501</v>
      </c>
      <c r="C107" s="417"/>
      <c r="D107" s="418">
        <f>-SCOG!D79</f>
        <v>0</v>
      </c>
      <c r="E107" s="418">
        <f>-SCOG!F79</f>
        <v>0</v>
      </c>
      <c r="F107" s="419">
        <f t="shared" si="15"/>
        <v>0</v>
      </c>
      <c r="G107" s="420">
        <f>+SCOG!H79+SCOG!I79+SCOG!J79</f>
        <v>0</v>
      </c>
      <c r="H107" s="419">
        <f>SCOG!J79</f>
        <v>0</v>
      </c>
      <c r="I107" s="421">
        <f t="shared" si="14"/>
        <v>0</v>
      </c>
    </row>
    <row r="108" spans="1:10" x14ac:dyDescent="0.2">
      <c r="B108" s="416" t="s">
        <v>502</v>
      </c>
      <c r="C108" s="417"/>
      <c r="D108" s="418">
        <f>-SCOG!D80</f>
        <v>0</v>
      </c>
      <c r="E108" s="418">
        <f>-SCOG!F80</f>
        <v>0</v>
      </c>
      <c r="F108" s="419">
        <f t="shared" si="15"/>
        <v>0</v>
      </c>
      <c r="G108" s="420">
        <f>+SCOG!H80+SCOG!I80+SCOG!J80</f>
        <v>0</v>
      </c>
      <c r="H108" s="419">
        <f>SCOG!J80</f>
        <v>0</v>
      </c>
      <c r="I108" s="421">
        <f t="shared" si="14"/>
        <v>0</v>
      </c>
    </row>
    <row r="109" spans="1:10" x14ac:dyDescent="0.2">
      <c r="B109" s="422" t="s">
        <v>503</v>
      </c>
      <c r="C109" s="423"/>
      <c r="D109" s="418">
        <f>-SCOG!D81</f>
        <v>0</v>
      </c>
      <c r="E109" s="418">
        <f>-SCOG!F81</f>
        <v>0</v>
      </c>
      <c r="F109" s="419">
        <f t="shared" si="15"/>
        <v>0</v>
      </c>
      <c r="G109" s="420">
        <f>+SCOG!H81+SCOG!I81+SCOG!J81</f>
        <v>0</v>
      </c>
      <c r="H109" s="419">
        <f>SCOG!J81</f>
        <v>0</v>
      </c>
      <c r="I109" s="421">
        <f t="shared" si="14"/>
        <v>0</v>
      </c>
    </row>
    <row r="110" spans="1:10" x14ac:dyDescent="0.2">
      <c r="B110" s="416" t="s">
        <v>504</v>
      </c>
      <c r="C110" s="417"/>
      <c r="D110" s="418">
        <f>-SCOG!D82</f>
        <v>0</v>
      </c>
      <c r="E110" s="418">
        <f>-SCOG!F82</f>
        <v>0</v>
      </c>
      <c r="F110" s="419">
        <f t="shared" si="15"/>
        <v>0</v>
      </c>
      <c r="G110" s="420">
        <f>+SCOG!H82+SCOG!I82+SCOG!J82</f>
        <v>0</v>
      </c>
      <c r="H110" s="419">
        <f>SCOG!J82</f>
        <v>0</v>
      </c>
      <c r="I110" s="421">
        <f t="shared" si="14"/>
        <v>0</v>
      </c>
    </row>
    <row r="111" spans="1:10" s="361" customFormat="1" x14ac:dyDescent="0.2">
      <c r="A111" s="305"/>
      <c r="B111" s="666" t="s">
        <v>505</v>
      </c>
      <c r="C111" s="667"/>
      <c r="D111" s="432">
        <f>SUM(D112:D120)</f>
        <v>0</v>
      </c>
      <c r="E111" s="432">
        <f>SUM(E112:E120)</f>
        <v>0</v>
      </c>
      <c r="F111" s="433">
        <f t="shared" ref="F111:G111" si="16">SUM(F112:F120)</f>
        <v>0</v>
      </c>
      <c r="G111" s="434">
        <f t="shared" si="16"/>
        <v>0</v>
      </c>
      <c r="H111" s="433">
        <f>SUM(H112:H120)</f>
        <v>0</v>
      </c>
      <c r="I111" s="415">
        <f t="shared" si="14"/>
        <v>0</v>
      </c>
      <c r="J111" s="305"/>
    </row>
    <row r="112" spans="1:10" x14ac:dyDescent="0.2">
      <c r="B112" s="668" t="s">
        <v>506</v>
      </c>
      <c r="C112" s="669"/>
      <c r="D112" s="418">
        <f>-SCOG!D83</f>
        <v>0</v>
      </c>
      <c r="E112" s="418">
        <f>-SCOG!F83</f>
        <v>0</v>
      </c>
      <c r="F112" s="419">
        <f t="shared" ref="F112:F120" si="17">+D112+E112</f>
        <v>0</v>
      </c>
      <c r="G112" s="420">
        <f>+SCOG!H83+SCOG!I83+SCOG!J83</f>
        <v>0</v>
      </c>
      <c r="H112" s="419">
        <f>SCOG!J83</f>
        <v>0</v>
      </c>
      <c r="I112" s="421">
        <f t="shared" si="14"/>
        <v>0</v>
      </c>
    </row>
    <row r="113" spans="1:10" x14ac:dyDescent="0.2">
      <c r="B113" s="422" t="s">
        <v>507</v>
      </c>
      <c r="C113" s="423"/>
      <c r="D113" s="418">
        <f>-SCOG!D84</f>
        <v>0</v>
      </c>
      <c r="E113" s="418">
        <f>-SCOG!F84</f>
        <v>0</v>
      </c>
      <c r="F113" s="419">
        <f t="shared" si="17"/>
        <v>0</v>
      </c>
      <c r="G113" s="420">
        <f>+SCOG!H84+SCOG!I84+SCOG!J84</f>
        <v>0</v>
      </c>
      <c r="H113" s="419">
        <f>SCOG!J84</f>
        <v>0</v>
      </c>
      <c r="I113" s="421">
        <f t="shared" si="14"/>
        <v>0</v>
      </c>
    </row>
    <row r="114" spans="1:10" x14ac:dyDescent="0.2">
      <c r="B114" s="668" t="s">
        <v>566</v>
      </c>
      <c r="C114" s="669"/>
      <c r="D114" s="418">
        <f>-SCOG!D85</f>
        <v>0</v>
      </c>
      <c r="E114" s="418">
        <f>-SCOG!F85</f>
        <v>0</v>
      </c>
      <c r="F114" s="419">
        <f t="shared" si="17"/>
        <v>0</v>
      </c>
      <c r="G114" s="420">
        <f>+SCOG!H85+SCOG!I85+SCOG!J85</f>
        <v>0</v>
      </c>
      <c r="H114" s="419">
        <f>SCOG!J85</f>
        <v>0</v>
      </c>
      <c r="I114" s="421">
        <f t="shared" si="14"/>
        <v>0</v>
      </c>
    </row>
    <row r="115" spans="1:10" x14ac:dyDescent="0.2">
      <c r="B115" s="668" t="s">
        <v>509</v>
      </c>
      <c r="C115" s="669"/>
      <c r="D115" s="418">
        <f>-SCOG!D86</f>
        <v>0</v>
      </c>
      <c r="E115" s="418">
        <f>-SCOG!F86</f>
        <v>0</v>
      </c>
      <c r="F115" s="419">
        <f t="shared" si="17"/>
        <v>0</v>
      </c>
      <c r="G115" s="420">
        <f>+SCOG!H86+SCOG!I86+SCOG!J86</f>
        <v>0</v>
      </c>
      <c r="H115" s="419">
        <f>SCOG!J86</f>
        <v>0</v>
      </c>
      <c r="I115" s="421">
        <f t="shared" si="14"/>
        <v>0</v>
      </c>
    </row>
    <row r="116" spans="1:10" x14ac:dyDescent="0.2">
      <c r="B116" s="416" t="s">
        <v>510</v>
      </c>
      <c r="C116" s="417"/>
      <c r="D116" s="418">
        <f>-SCOG!D87</f>
        <v>0</v>
      </c>
      <c r="E116" s="418">
        <f>-SCOG!F87</f>
        <v>0</v>
      </c>
      <c r="F116" s="419">
        <f t="shared" si="17"/>
        <v>0</v>
      </c>
      <c r="G116" s="420">
        <f>+SCOG!H87+SCOG!I87+SCOG!J87</f>
        <v>0</v>
      </c>
      <c r="H116" s="419">
        <f>SCOG!J87</f>
        <v>0</v>
      </c>
      <c r="I116" s="421">
        <f t="shared" si="14"/>
        <v>0</v>
      </c>
    </row>
    <row r="117" spans="1:10" x14ac:dyDescent="0.2">
      <c r="B117" s="416" t="s">
        <v>511</v>
      </c>
      <c r="C117" s="417"/>
      <c r="D117" s="418">
        <f>-SCOG!D88</f>
        <v>0</v>
      </c>
      <c r="E117" s="418">
        <f>-SCOG!F88</f>
        <v>0</v>
      </c>
      <c r="F117" s="419">
        <f t="shared" si="17"/>
        <v>0</v>
      </c>
      <c r="G117" s="420">
        <f>+SCOG!H88+SCOG!I88+SCOG!J88</f>
        <v>0</v>
      </c>
      <c r="H117" s="419">
        <f>SCOG!J88</f>
        <v>0</v>
      </c>
      <c r="I117" s="421">
        <f t="shared" si="14"/>
        <v>0</v>
      </c>
    </row>
    <row r="118" spans="1:10" x14ac:dyDescent="0.2">
      <c r="B118" s="668" t="s">
        <v>512</v>
      </c>
      <c r="C118" s="669"/>
      <c r="D118" s="418">
        <f>-SCOG!D89</f>
        <v>0</v>
      </c>
      <c r="E118" s="418">
        <f>-SCOG!F89</f>
        <v>0</v>
      </c>
      <c r="F118" s="419">
        <f t="shared" si="17"/>
        <v>0</v>
      </c>
      <c r="G118" s="420">
        <f>+SCOG!H89+SCOG!I89+SCOG!J89</f>
        <v>0</v>
      </c>
      <c r="H118" s="419">
        <f>SCOG!J89</f>
        <v>0</v>
      </c>
      <c r="I118" s="421">
        <f t="shared" si="14"/>
        <v>0</v>
      </c>
    </row>
    <row r="119" spans="1:10" x14ac:dyDescent="0.2">
      <c r="B119" s="416" t="s">
        <v>513</v>
      </c>
      <c r="C119" s="417"/>
      <c r="D119" s="418">
        <f>-SCOG!D90</f>
        <v>0</v>
      </c>
      <c r="E119" s="418">
        <f>-SCOG!F90</f>
        <v>0</v>
      </c>
      <c r="F119" s="419">
        <f t="shared" si="17"/>
        <v>0</v>
      </c>
      <c r="G119" s="420">
        <f>+SCOG!H90+SCOG!I90+SCOG!J90</f>
        <v>0</v>
      </c>
      <c r="H119" s="419">
        <f>SCOG!J90</f>
        <v>0</v>
      </c>
      <c r="I119" s="421">
        <f t="shared" si="14"/>
        <v>0</v>
      </c>
    </row>
    <row r="120" spans="1:10" x14ac:dyDescent="0.2">
      <c r="B120" s="668" t="s">
        <v>514</v>
      </c>
      <c r="C120" s="669"/>
      <c r="D120" s="418">
        <f>-SCOG!D91</f>
        <v>0</v>
      </c>
      <c r="E120" s="418">
        <f>-SCOG!F91</f>
        <v>0</v>
      </c>
      <c r="F120" s="419">
        <f t="shared" si="17"/>
        <v>0</v>
      </c>
      <c r="G120" s="420">
        <f>+SCOG!H91+SCOG!I91+SCOG!J91</f>
        <v>0</v>
      </c>
      <c r="H120" s="419">
        <f>SCOG!J91</f>
        <v>0</v>
      </c>
      <c r="I120" s="421">
        <f t="shared" si="14"/>
        <v>0</v>
      </c>
    </row>
    <row r="121" spans="1:10" s="361" customFormat="1" x14ac:dyDescent="0.2">
      <c r="A121" s="305"/>
      <c r="B121" s="666" t="s">
        <v>515</v>
      </c>
      <c r="C121" s="667"/>
      <c r="D121" s="432">
        <f>SUM(D122:D130)</f>
        <v>0</v>
      </c>
      <c r="E121" s="432">
        <f>SUM(E122:E130)</f>
        <v>0</v>
      </c>
      <c r="F121" s="433">
        <f t="shared" ref="F121:G121" si="18">SUM(F122:F130)</f>
        <v>0</v>
      </c>
      <c r="G121" s="434">
        <f t="shared" si="18"/>
        <v>0</v>
      </c>
      <c r="H121" s="433">
        <f>SUM(H122:H130)</f>
        <v>0</v>
      </c>
      <c r="I121" s="415">
        <f t="shared" si="14"/>
        <v>0</v>
      </c>
      <c r="J121" s="305"/>
    </row>
    <row r="122" spans="1:10" x14ac:dyDescent="0.2">
      <c r="B122" s="422" t="s">
        <v>516</v>
      </c>
      <c r="C122" s="423"/>
      <c r="D122" s="418">
        <f>-SCOG!D92</f>
        <v>0</v>
      </c>
      <c r="E122" s="418">
        <f>-SCOG!F92</f>
        <v>0</v>
      </c>
      <c r="F122" s="419">
        <f t="shared" ref="F122:F130" si="19">+D122+E122</f>
        <v>0</v>
      </c>
      <c r="G122" s="420">
        <f>+SCOG!H92+SCOG!I92+SCOG!J92</f>
        <v>0</v>
      </c>
      <c r="H122" s="419">
        <f>SCOG!J92</f>
        <v>0</v>
      </c>
      <c r="I122" s="421">
        <f t="shared" si="14"/>
        <v>0</v>
      </c>
    </row>
    <row r="123" spans="1:10" x14ac:dyDescent="0.2">
      <c r="B123" s="416" t="s">
        <v>517</v>
      </c>
      <c r="C123" s="417"/>
      <c r="D123" s="418">
        <f>-SCOG!D93</f>
        <v>0</v>
      </c>
      <c r="E123" s="418">
        <f>-SCOG!F93</f>
        <v>0</v>
      </c>
      <c r="F123" s="419">
        <f t="shared" si="19"/>
        <v>0</v>
      </c>
      <c r="G123" s="420">
        <f>+SCOG!H93+SCOG!I93+SCOG!J93</f>
        <v>0</v>
      </c>
      <c r="H123" s="419">
        <f>SCOG!J93</f>
        <v>0</v>
      </c>
      <c r="I123" s="421">
        <f t="shared" si="14"/>
        <v>0</v>
      </c>
    </row>
    <row r="124" spans="1:10" x14ac:dyDescent="0.2">
      <c r="B124" s="668" t="s">
        <v>518</v>
      </c>
      <c r="C124" s="669"/>
      <c r="D124" s="418">
        <f>-SCOG!D94</f>
        <v>0</v>
      </c>
      <c r="E124" s="418">
        <f>-SCOG!F94</f>
        <v>0</v>
      </c>
      <c r="F124" s="419">
        <f t="shared" si="19"/>
        <v>0</v>
      </c>
      <c r="G124" s="420">
        <f>+SCOG!H94+SCOG!I94+SCOG!J94</f>
        <v>0</v>
      </c>
      <c r="H124" s="419">
        <f>SCOG!J94</f>
        <v>0</v>
      </c>
      <c r="I124" s="421">
        <f t="shared" si="14"/>
        <v>0</v>
      </c>
    </row>
    <row r="125" spans="1:10" x14ac:dyDescent="0.2">
      <c r="B125" s="668" t="s">
        <v>519</v>
      </c>
      <c r="C125" s="669"/>
      <c r="D125" s="418">
        <f>-SCOG!D95</f>
        <v>0</v>
      </c>
      <c r="E125" s="418">
        <f>-SCOG!F95</f>
        <v>0</v>
      </c>
      <c r="F125" s="419">
        <f t="shared" si="19"/>
        <v>0</v>
      </c>
      <c r="G125" s="420">
        <f>+SCOG!H95+SCOG!I95+SCOG!J95</f>
        <v>0</v>
      </c>
      <c r="H125" s="419">
        <f>SCOG!J95</f>
        <v>0</v>
      </c>
      <c r="I125" s="421">
        <f t="shared" si="14"/>
        <v>0</v>
      </c>
    </row>
    <row r="126" spans="1:10" x14ac:dyDescent="0.2">
      <c r="B126" s="668" t="s">
        <v>520</v>
      </c>
      <c r="C126" s="669"/>
      <c r="D126" s="418">
        <f>-SCOG!D96</f>
        <v>0</v>
      </c>
      <c r="E126" s="418">
        <f>-SCOG!F96</f>
        <v>0</v>
      </c>
      <c r="F126" s="419">
        <f t="shared" si="19"/>
        <v>0</v>
      </c>
      <c r="G126" s="420">
        <f>+SCOG!H96+SCOG!I96+SCOG!J96</f>
        <v>0</v>
      </c>
      <c r="H126" s="419">
        <f>SCOG!J96</f>
        <v>0</v>
      </c>
      <c r="I126" s="421">
        <f t="shared" si="14"/>
        <v>0</v>
      </c>
    </row>
    <row r="127" spans="1:10" x14ac:dyDescent="0.2">
      <c r="B127" s="416" t="s">
        <v>521</v>
      </c>
      <c r="C127" s="417"/>
      <c r="D127" s="418">
        <f>-SCOG!D97</f>
        <v>0</v>
      </c>
      <c r="E127" s="418">
        <f>-SCOG!F97</f>
        <v>0</v>
      </c>
      <c r="F127" s="419">
        <f t="shared" si="19"/>
        <v>0</v>
      </c>
      <c r="G127" s="420">
        <f>+SCOG!H97+SCOG!I97+SCOG!J97</f>
        <v>0</v>
      </c>
      <c r="H127" s="419">
        <f>SCOG!J97</f>
        <v>0</v>
      </c>
      <c r="I127" s="421">
        <f t="shared" si="14"/>
        <v>0</v>
      </c>
    </row>
    <row r="128" spans="1:10" x14ac:dyDescent="0.2">
      <c r="B128" s="416" t="s">
        <v>522</v>
      </c>
      <c r="C128" s="417"/>
      <c r="D128" s="418">
        <f>-SCOG!D98</f>
        <v>0</v>
      </c>
      <c r="E128" s="418">
        <f>-SCOG!F98</f>
        <v>0</v>
      </c>
      <c r="F128" s="419">
        <f t="shared" si="19"/>
        <v>0</v>
      </c>
      <c r="G128" s="420">
        <f>+SCOG!H98+SCOG!I98+SCOG!J98</f>
        <v>0</v>
      </c>
      <c r="H128" s="419">
        <f>SCOG!J98</f>
        <v>0</v>
      </c>
      <c r="I128" s="421">
        <f t="shared" si="14"/>
        <v>0</v>
      </c>
    </row>
    <row r="129" spans="1:10" x14ac:dyDescent="0.2">
      <c r="B129" s="416" t="s">
        <v>523</v>
      </c>
      <c r="C129" s="417"/>
      <c r="D129" s="418">
        <f>-SCOG!D99</f>
        <v>0</v>
      </c>
      <c r="E129" s="418">
        <f>-SCOG!F99</f>
        <v>0</v>
      </c>
      <c r="F129" s="419">
        <f t="shared" si="19"/>
        <v>0</v>
      </c>
      <c r="G129" s="420">
        <f>+SCOG!H99+SCOG!I99+SCOG!J99</f>
        <v>0</v>
      </c>
      <c r="H129" s="419">
        <f>SCOG!J99</f>
        <v>0</v>
      </c>
      <c r="I129" s="421">
        <f t="shared" si="14"/>
        <v>0</v>
      </c>
    </row>
    <row r="130" spans="1:10" x14ac:dyDescent="0.2">
      <c r="B130" s="416" t="s">
        <v>524</v>
      </c>
      <c r="C130" s="417"/>
      <c r="D130" s="418">
        <f>-SCOG!D100</f>
        <v>0</v>
      </c>
      <c r="E130" s="418">
        <f>-SCOG!F100</f>
        <v>0</v>
      </c>
      <c r="F130" s="419">
        <f t="shared" si="19"/>
        <v>0</v>
      </c>
      <c r="G130" s="420">
        <f>+SCOG!H100+SCOG!I100+SCOG!J100</f>
        <v>0</v>
      </c>
      <c r="H130" s="419">
        <f>SCOG!J100</f>
        <v>0</v>
      </c>
      <c r="I130" s="421">
        <f t="shared" si="14"/>
        <v>0</v>
      </c>
    </row>
    <row r="131" spans="1:10" s="361" customFormat="1" ht="24" customHeight="1" x14ac:dyDescent="0.2">
      <c r="A131" s="305"/>
      <c r="B131" s="666" t="s">
        <v>648</v>
      </c>
      <c r="C131" s="667"/>
      <c r="D131" s="427">
        <f>+D132+D133+D134+D135+D136+D137+D138+D139+D140</f>
        <v>0</v>
      </c>
      <c r="E131" s="427">
        <f>+E132+E133+E134+E135+E136+E137+E138+E139+E140</f>
        <v>0</v>
      </c>
      <c r="F131" s="427">
        <f>+F132+F133+F134+F135+F136+F137+F138+F139+F140</f>
        <v>0</v>
      </c>
      <c r="G131" s="427">
        <f>+G132+G133+G134+G135+G136+G137+G138+G139+G140</f>
        <v>0</v>
      </c>
      <c r="H131" s="427">
        <f>+H132+H133+H134+H135+H136+H137+H138+H139+H140</f>
        <v>0</v>
      </c>
      <c r="I131" s="415">
        <f t="shared" si="14"/>
        <v>0</v>
      </c>
      <c r="J131" s="305"/>
    </row>
    <row r="132" spans="1:10" x14ac:dyDescent="0.2">
      <c r="B132" s="668" t="s">
        <v>525</v>
      </c>
      <c r="C132" s="669"/>
      <c r="D132" s="418">
        <f>-SCOG!D101</f>
        <v>0</v>
      </c>
      <c r="E132" s="418">
        <f>-SCOG!F101</f>
        <v>0</v>
      </c>
      <c r="F132" s="419">
        <f t="shared" ref="F132:F140" si="20">+D132+E132</f>
        <v>0</v>
      </c>
      <c r="G132" s="420">
        <f>+SCOG!H101+SCOG!I101+SCOG!J101</f>
        <v>0</v>
      </c>
      <c r="H132" s="419">
        <f>SCOG!J101</f>
        <v>0</v>
      </c>
      <c r="I132" s="421">
        <f t="shared" si="14"/>
        <v>0</v>
      </c>
    </row>
    <row r="133" spans="1:10" x14ac:dyDescent="0.2">
      <c r="B133" s="416" t="s">
        <v>526</v>
      </c>
      <c r="C133" s="417"/>
      <c r="D133" s="418">
        <f>-SCOG!D102</f>
        <v>0</v>
      </c>
      <c r="E133" s="418">
        <f>-SCOG!F102</f>
        <v>0</v>
      </c>
      <c r="F133" s="419">
        <f t="shared" si="20"/>
        <v>0</v>
      </c>
      <c r="G133" s="420">
        <f>+SCOG!H102+SCOG!I102+SCOG!J102</f>
        <v>0</v>
      </c>
      <c r="H133" s="419">
        <f>SCOG!J102</f>
        <v>0</v>
      </c>
      <c r="I133" s="421">
        <f t="shared" si="14"/>
        <v>0</v>
      </c>
    </row>
    <row r="134" spans="1:10" x14ac:dyDescent="0.2">
      <c r="B134" s="416" t="s">
        <v>527</v>
      </c>
      <c r="C134" s="417"/>
      <c r="D134" s="418">
        <f>-SCOG!D103</f>
        <v>0</v>
      </c>
      <c r="E134" s="418">
        <f>-SCOG!F103</f>
        <v>0</v>
      </c>
      <c r="F134" s="419">
        <f t="shared" si="20"/>
        <v>0</v>
      </c>
      <c r="G134" s="420">
        <f>+SCOG!H103+SCOG!I103+SCOG!J103</f>
        <v>0</v>
      </c>
      <c r="H134" s="419">
        <f>SCOG!J103</f>
        <v>0</v>
      </c>
      <c r="I134" s="421">
        <f t="shared" si="14"/>
        <v>0</v>
      </c>
    </row>
    <row r="135" spans="1:10" x14ac:dyDescent="0.2">
      <c r="B135" s="416" t="s">
        <v>528</v>
      </c>
      <c r="C135" s="417"/>
      <c r="D135" s="418">
        <f>-SCOG!D104</f>
        <v>0</v>
      </c>
      <c r="E135" s="418">
        <f>-SCOG!F104</f>
        <v>0</v>
      </c>
      <c r="F135" s="419">
        <f t="shared" si="20"/>
        <v>0</v>
      </c>
      <c r="G135" s="420">
        <f>+SCOG!H104+SCOG!I104+SCOG!J104</f>
        <v>0</v>
      </c>
      <c r="H135" s="419">
        <f>SCOG!J104</f>
        <v>0</v>
      </c>
      <c r="I135" s="421">
        <f t="shared" si="14"/>
        <v>0</v>
      </c>
    </row>
    <row r="136" spans="1:10" x14ac:dyDescent="0.2">
      <c r="B136" s="416" t="s">
        <v>529</v>
      </c>
      <c r="C136" s="417"/>
      <c r="D136" s="418">
        <f>-SCOG!D105</f>
        <v>0</v>
      </c>
      <c r="E136" s="418">
        <f>-SCOG!F105</f>
        <v>0</v>
      </c>
      <c r="F136" s="419">
        <f t="shared" si="20"/>
        <v>0</v>
      </c>
      <c r="G136" s="420">
        <f>+SCOG!H105+SCOG!I105+SCOG!J105</f>
        <v>0</v>
      </c>
      <c r="H136" s="419">
        <f>SCOG!J105</f>
        <v>0</v>
      </c>
      <c r="I136" s="421">
        <f t="shared" si="14"/>
        <v>0</v>
      </c>
    </row>
    <row r="137" spans="1:10" x14ac:dyDescent="0.2">
      <c r="B137" s="668" t="s">
        <v>530</v>
      </c>
      <c r="C137" s="669"/>
      <c r="D137" s="418">
        <f>-SCOG!D106</f>
        <v>0</v>
      </c>
      <c r="E137" s="418">
        <f>-SCOG!F106</f>
        <v>0</v>
      </c>
      <c r="F137" s="419">
        <f t="shared" si="20"/>
        <v>0</v>
      </c>
      <c r="G137" s="420">
        <f>+SCOG!H106+SCOG!I106+SCOG!J106</f>
        <v>0</v>
      </c>
      <c r="H137" s="419">
        <f>SCOG!J106</f>
        <v>0</v>
      </c>
      <c r="I137" s="421">
        <f t="shared" si="14"/>
        <v>0</v>
      </c>
    </row>
    <row r="138" spans="1:10" x14ac:dyDescent="0.2">
      <c r="B138" s="416" t="s">
        <v>531</v>
      </c>
      <c r="C138" s="417"/>
      <c r="D138" s="418">
        <f>-SCOG!D107</f>
        <v>0</v>
      </c>
      <c r="E138" s="418">
        <f>-SCOG!F107</f>
        <v>0</v>
      </c>
      <c r="F138" s="419">
        <f t="shared" si="20"/>
        <v>0</v>
      </c>
      <c r="G138" s="420">
        <f>+SCOG!H107+SCOG!I107+SCOG!J107</f>
        <v>0</v>
      </c>
      <c r="H138" s="419">
        <f>SCOG!J107</f>
        <v>0</v>
      </c>
      <c r="I138" s="421">
        <f>+F138-G138</f>
        <v>0</v>
      </c>
    </row>
    <row r="139" spans="1:10" x14ac:dyDescent="0.2">
      <c r="B139" s="416" t="s">
        <v>532</v>
      </c>
      <c r="C139" s="417"/>
      <c r="D139" s="418">
        <f>-SCOG!D108</f>
        <v>0</v>
      </c>
      <c r="E139" s="418">
        <f>-SCOG!F108</f>
        <v>0</v>
      </c>
      <c r="F139" s="419">
        <f t="shared" si="20"/>
        <v>0</v>
      </c>
      <c r="G139" s="420">
        <f>+SCOG!H108+SCOG!I108+SCOG!J108</f>
        <v>0</v>
      </c>
      <c r="H139" s="419">
        <f>SCOG!J108</f>
        <v>0</v>
      </c>
      <c r="I139" s="421">
        <f t="shared" ref="I139:I176" si="21">+F139-G139</f>
        <v>0</v>
      </c>
    </row>
    <row r="140" spans="1:10" x14ac:dyDescent="0.2">
      <c r="B140" s="416" t="s">
        <v>567</v>
      </c>
      <c r="C140" s="417"/>
      <c r="D140" s="418">
        <f>-SCOG!D109</f>
        <v>0</v>
      </c>
      <c r="E140" s="418">
        <f>-SCOG!F109</f>
        <v>0</v>
      </c>
      <c r="F140" s="419">
        <f t="shared" si="20"/>
        <v>0</v>
      </c>
      <c r="G140" s="420">
        <f>+SCOG!H109+SCOG!I109+SCOG!J109</f>
        <v>0</v>
      </c>
      <c r="H140" s="419">
        <f>SCOG!J109</f>
        <v>0</v>
      </c>
      <c r="I140" s="421">
        <f t="shared" si="21"/>
        <v>0</v>
      </c>
    </row>
    <row r="141" spans="1:10" s="361" customFormat="1" x14ac:dyDescent="0.2">
      <c r="A141" s="305"/>
      <c r="B141" s="424" t="s">
        <v>649</v>
      </c>
      <c r="C141" s="425"/>
      <c r="D141" s="426">
        <f>SUM(D142:D150)</f>
        <v>0</v>
      </c>
      <c r="E141" s="426">
        <f>SUM(E142:E150)</f>
        <v>2506270</v>
      </c>
      <c r="F141" s="427">
        <f t="shared" ref="F141:G141" si="22">SUM(F142:F150)</f>
        <v>2506270</v>
      </c>
      <c r="G141" s="428">
        <f t="shared" si="22"/>
        <v>14500</v>
      </c>
      <c r="H141" s="427">
        <f>SUM(H142:H150)</f>
        <v>14500</v>
      </c>
      <c r="I141" s="415">
        <f t="shared" si="21"/>
        <v>2491770</v>
      </c>
      <c r="J141" s="305"/>
    </row>
    <row r="142" spans="1:10" x14ac:dyDescent="0.2">
      <c r="B142" s="416" t="s">
        <v>534</v>
      </c>
      <c r="C142" s="417"/>
      <c r="D142" s="418">
        <f>-SCOG!D110</f>
        <v>0</v>
      </c>
      <c r="E142" s="418">
        <f>-SCOG!F110</f>
        <v>0</v>
      </c>
      <c r="F142" s="419">
        <f t="shared" ref="F142:F150" si="23">+D142+E142</f>
        <v>0</v>
      </c>
      <c r="G142" s="420">
        <f>+SCOG!H110+SCOG!I110+SCOG!J110</f>
        <v>0</v>
      </c>
      <c r="H142" s="419">
        <f>SCOG!J110</f>
        <v>0</v>
      </c>
      <c r="I142" s="421">
        <f t="shared" si="21"/>
        <v>0</v>
      </c>
    </row>
    <row r="143" spans="1:10" x14ac:dyDescent="0.2">
      <c r="B143" s="416" t="s">
        <v>535</v>
      </c>
      <c r="C143" s="417"/>
      <c r="D143" s="418">
        <f>-SCOG!D111</f>
        <v>0</v>
      </c>
      <c r="E143" s="418">
        <f>-SCOG!F111</f>
        <v>0</v>
      </c>
      <c r="F143" s="419">
        <f t="shared" si="23"/>
        <v>0</v>
      </c>
      <c r="G143" s="420">
        <f>+SCOG!H111+SCOG!I111+SCOG!J111</f>
        <v>0</v>
      </c>
      <c r="H143" s="419">
        <f>SCOG!J111</f>
        <v>0</v>
      </c>
      <c r="I143" s="421">
        <f t="shared" si="21"/>
        <v>0</v>
      </c>
    </row>
    <row r="144" spans="1:10" x14ac:dyDescent="0.2">
      <c r="B144" s="416" t="s">
        <v>536</v>
      </c>
      <c r="C144" s="417"/>
      <c r="D144" s="418">
        <f>-SCOG!D112</f>
        <v>0</v>
      </c>
      <c r="E144" s="418">
        <f>-SCOG!F112</f>
        <v>0</v>
      </c>
      <c r="F144" s="419">
        <f t="shared" si="23"/>
        <v>0</v>
      </c>
      <c r="G144" s="420">
        <f>+SCOG!H112+SCOG!I112+SCOG!J112</f>
        <v>0</v>
      </c>
      <c r="H144" s="419">
        <f>SCOG!J112</f>
        <v>0</v>
      </c>
      <c r="I144" s="421">
        <f t="shared" si="21"/>
        <v>0</v>
      </c>
    </row>
    <row r="145" spans="1:10" x14ac:dyDescent="0.2">
      <c r="B145" s="416" t="s">
        <v>537</v>
      </c>
      <c r="C145" s="417"/>
      <c r="D145" s="418">
        <f>-SCOG!D113</f>
        <v>0</v>
      </c>
      <c r="E145" s="418">
        <f>-SCOG!F113</f>
        <v>0</v>
      </c>
      <c r="F145" s="419">
        <f t="shared" si="23"/>
        <v>0</v>
      </c>
      <c r="G145" s="420">
        <f>+SCOG!H113+SCOG!I113+SCOG!J113</f>
        <v>0</v>
      </c>
      <c r="H145" s="419">
        <f>SCOG!J113</f>
        <v>0</v>
      </c>
      <c r="I145" s="421">
        <f t="shared" si="21"/>
        <v>0</v>
      </c>
    </row>
    <row r="146" spans="1:10" x14ac:dyDescent="0.2">
      <c r="B146" s="416" t="s">
        <v>538</v>
      </c>
      <c r="C146" s="417"/>
      <c r="D146" s="418">
        <f>-SCOG!D114</f>
        <v>0</v>
      </c>
      <c r="E146" s="418">
        <f>-SCOG!F114</f>
        <v>0</v>
      </c>
      <c r="F146" s="419">
        <f t="shared" si="23"/>
        <v>0</v>
      </c>
      <c r="G146" s="420">
        <f>+SCOG!H114+SCOG!I114+SCOG!J114</f>
        <v>0</v>
      </c>
      <c r="H146" s="419">
        <f>SCOG!J114</f>
        <v>0</v>
      </c>
      <c r="I146" s="421">
        <f t="shared" si="21"/>
        <v>0</v>
      </c>
    </row>
    <row r="147" spans="1:10" x14ac:dyDescent="0.2">
      <c r="B147" s="668" t="s">
        <v>568</v>
      </c>
      <c r="C147" s="669"/>
      <c r="D147" s="418">
        <f>-SCOG!D115</f>
        <v>0</v>
      </c>
      <c r="E147" s="418">
        <f>-SCOG!F115</f>
        <v>2506270</v>
      </c>
      <c r="F147" s="419">
        <f t="shared" si="23"/>
        <v>2506270</v>
      </c>
      <c r="G147" s="420">
        <f>+SCOG!H115+SCOG!I115+SCOG!J115</f>
        <v>14500</v>
      </c>
      <c r="H147" s="419">
        <f>SCOG!J115</f>
        <v>14500</v>
      </c>
      <c r="I147" s="421">
        <f t="shared" si="21"/>
        <v>2491770</v>
      </c>
    </row>
    <row r="148" spans="1:10" x14ac:dyDescent="0.2">
      <c r="B148" s="416" t="s">
        <v>540</v>
      </c>
      <c r="C148" s="417"/>
      <c r="D148" s="418">
        <f>-SCOG!D116</f>
        <v>0</v>
      </c>
      <c r="E148" s="418">
        <f>-SCOG!F116</f>
        <v>0</v>
      </c>
      <c r="F148" s="419">
        <f t="shared" si="23"/>
        <v>0</v>
      </c>
      <c r="G148" s="420">
        <f>+SCOG!H116+SCOG!I116+SCOG!J116</f>
        <v>0</v>
      </c>
      <c r="H148" s="419">
        <f>SCOG!J116</f>
        <v>0</v>
      </c>
      <c r="I148" s="421">
        <f t="shared" si="21"/>
        <v>0</v>
      </c>
    </row>
    <row r="149" spans="1:10" x14ac:dyDescent="0.2">
      <c r="B149" s="416" t="s">
        <v>541</v>
      </c>
      <c r="C149" s="417"/>
      <c r="D149" s="418">
        <f>-SCOG!D117</f>
        <v>0</v>
      </c>
      <c r="E149" s="418">
        <f>-SCOG!F117</f>
        <v>0</v>
      </c>
      <c r="F149" s="419">
        <f t="shared" si="23"/>
        <v>0</v>
      </c>
      <c r="G149" s="420">
        <f>+SCOG!H117+SCOG!I117+SCOG!J117</f>
        <v>0</v>
      </c>
      <c r="H149" s="419">
        <f>SCOG!J117</f>
        <v>0</v>
      </c>
      <c r="I149" s="421">
        <f t="shared" si="21"/>
        <v>0</v>
      </c>
    </row>
    <row r="150" spans="1:10" x14ac:dyDescent="0.2">
      <c r="B150" s="422" t="s">
        <v>542</v>
      </c>
      <c r="C150" s="423"/>
      <c r="D150" s="418">
        <f>-SCOG!D118</f>
        <v>0</v>
      </c>
      <c r="E150" s="418">
        <f>-SCOG!F118</f>
        <v>0</v>
      </c>
      <c r="F150" s="419">
        <f t="shared" si="23"/>
        <v>0</v>
      </c>
      <c r="G150" s="420">
        <f>+SCOG!H118+SCOG!I118+SCOG!J118</f>
        <v>0</v>
      </c>
      <c r="H150" s="419">
        <f>SCOG!J118</f>
        <v>0</v>
      </c>
      <c r="I150" s="421">
        <f t="shared" si="21"/>
        <v>0</v>
      </c>
    </row>
    <row r="151" spans="1:10" s="361" customFormat="1" x14ac:dyDescent="0.2">
      <c r="A151" s="305"/>
      <c r="B151" s="454" t="s">
        <v>543</v>
      </c>
      <c r="C151" s="455"/>
      <c r="D151" s="456">
        <f>SUM(D152:D154)</f>
        <v>0</v>
      </c>
      <c r="E151" s="456">
        <f>SUM(E152:E154)</f>
        <v>0</v>
      </c>
      <c r="F151" s="457">
        <f t="shared" ref="F151:G151" si="24">SUM(F152:F154)</f>
        <v>0</v>
      </c>
      <c r="G151" s="458">
        <f t="shared" si="24"/>
        <v>0</v>
      </c>
      <c r="H151" s="457">
        <f>SUM(H152:H154)</f>
        <v>0</v>
      </c>
      <c r="I151" s="415">
        <f t="shared" si="21"/>
        <v>0</v>
      </c>
      <c r="J151" s="305"/>
    </row>
    <row r="152" spans="1:10" x14ac:dyDescent="0.2">
      <c r="B152" s="668" t="s">
        <v>544</v>
      </c>
      <c r="C152" s="669"/>
      <c r="D152" s="418">
        <f>-SCOG!D119</f>
        <v>0</v>
      </c>
      <c r="E152" s="418">
        <f>-SCOG!F119</f>
        <v>0</v>
      </c>
      <c r="F152" s="419">
        <f>+D152+E152</f>
        <v>0</v>
      </c>
      <c r="G152" s="420">
        <f>+SCOG!H119+SCOG!I119+SCOG!J119</f>
        <v>0</v>
      </c>
      <c r="H152" s="419">
        <f>SCOG!J119</f>
        <v>0</v>
      </c>
      <c r="I152" s="421">
        <f t="shared" si="21"/>
        <v>0</v>
      </c>
    </row>
    <row r="153" spans="1:10" x14ac:dyDescent="0.2">
      <c r="B153" s="668" t="s">
        <v>545</v>
      </c>
      <c r="C153" s="669"/>
      <c r="D153" s="418">
        <f>-SCOG!D120</f>
        <v>0</v>
      </c>
      <c r="E153" s="418">
        <f>-SCOG!F120</f>
        <v>0</v>
      </c>
      <c r="F153" s="419">
        <f>+D153+E153</f>
        <v>0</v>
      </c>
      <c r="G153" s="420">
        <f>+SCOG!H120+SCOG!I120+SCOG!J120</f>
        <v>0</v>
      </c>
      <c r="H153" s="419">
        <f>SCOG!J120</f>
        <v>0</v>
      </c>
      <c r="I153" s="421">
        <f t="shared" si="21"/>
        <v>0</v>
      </c>
    </row>
    <row r="154" spans="1:10" x14ac:dyDescent="0.2">
      <c r="B154" s="416" t="s">
        <v>546</v>
      </c>
      <c r="C154" s="417"/>
      <c r="D154" s="418">
        <f>-SCOG!D121</f>
        <v>0</v>
      </c>
      <c r="E154" s="418">
        <f>-SCOG!F121</f>
        <v>0</v>
      </c>
      <c r="F154" s="419">
        <f>+D154+E154</f>
        <v>0</v>
      </c>
      <c r="G154" s="420">
        <f>+SCOG!H121+SCOG!I121+SCOG!J121</f>
        <v>0</v>
      </c>
      <c r="H154" s="419">
        <f>SCOG!J121</f>
        <v>0</v>
      </c>
      <c r="I154" s="421">
        <f t="shared" si="21"/>
        <v>0</v>
      </c>
    </row>
    <row r="155" spans="1:10" s="361" customFormat="1" x14ac:dyDescent="0.2">
      <c r="A155" s="305"/>
      <c r="B155" s="424" t="s">
        <v>650</v>
      </c>
      <c r="C155" s="425"/>
      <c r="D155" s="426">
        <f>SUM(D156:D162)</f>
        <v>0</v>
      </c>
      <c r="E155" s="426">
        <f>SUM(E156:E162)</f>
        <v>0</v>
      </c>
      <c r="F155" s="427">
        <f>SUM(F156:F162)</f>
        <v>0</v>
      </c>
      <c r="G155" s="428">
        <f>SUM(G156:G162)</f>
        <v>0</v>
      </c>
      <c r="H155" s="427">
        <f>SUM(H156:H162)</f>
        <v>0</v>
      </c>
      <c r="I155" s="415">
        <f t="shared" si="21"/>
        <v>0</v>
      </c>
      <c r="J155" s="305"/>
    </row>
    <row r="156" spans="1:10" x14ac:dyDescent="0.2">
      <c r="B156" s="668" t="s">
        <v>547</v>
      </c>
      <c r="C156" s="669"/>
      <c r="D156" s="418">
        <f>-SCOG!D122</f>
        <v>0</v>
      </c>
      <c r="E156" s="418">
        <f>-SCOG!F122</f>
        <v>0</v>
      </c>
      <c r="F156" s="419">
        <f t="shared" ref="F156:F162" si="25">+D156+E156</f>
        <v>0</v>
      </c>
      <c r="G156" s="420">
        <f>+SCOG!H122+SCOG!I122+SCOG!J122</f>
        <v>0</v>
      </c>
      <c r="H156" s="419">
        <f>SCOG!J122</f>
        <v>0</v>
      </c>
      <c r="I156" s="421">
        <f t="shared" si="21"/>
        <v>0</v>
      </c>
    </row>
    <row r="157" spans="1:10" x14ac:dyDescent="0.2">
      <c r="B157" s="668" t="s">
        <v>548</v>
      </c>
      <c r="C157" s="669"/>
      <c r="D157" s="418">
        <f>-SCOG!D123</f>
        <v>0</v>
      </c>
      <c r="E157" s="418">
        <f>-SCOG!F123</f>
        <v>0</v>
      </c>
      <c r="F157" s="419">
        <f t="shared" si="25"/>
        <v>0</v>
      </c>
      <c r="G157" s="420">
        <f>+SCOG!H123+SCOG!I123+SCOG!J123</f>
        <v>0</v>
      </c>
      <c r="H157" s="419">
        <f>SCOG!J123</f>
        <v>0</v>
      </c>
      <c r="I157" s="421">
        <f t="shared" si="21"/>
        <v>0</v>
      </c>
    </row>
    <row r="158" spans="1:10" x14ac:dyDescent="0.2">
      <c r="B158" s="668" t="s">
        <v>549</v>
      </c>
      <c r="C158" s="669"/>
      <c r="D158" s="418">
        <f>-SCOG!D124</f>
        <v>0</v>
      </c>
      <c r="E158" s="418">
        <f>-SCOG!F124</f>
        <v>0</v>
      </c>
      <c r="F158" s="419">
        <f t="shared" si="25"/>
        <v>0</v>
      </c>
      <c r="G158" s="420">
        <f>+SCOG!H124+SCOG!I124+SCOG!J124</f>
        <v>0</v>
      </c>
      <c r="H158" s="419">
        <f>SCOG!J124</f>
        <v>0</v>
      </c>
      <c r="I158" s="421">
        <f t="shared" si="21"/>
        <v>0</v>
      </c>
    </row>
    <row r="159" spans="1:10" x14ac:dyDescent="0.2">
      <c r="B159" s="459" t="s">
        <v>550</v>
      </c>
      <c r="C159" s="460"/>
      <c r="D159" s="405">
        <f>-SCOG!D125</f>
        <v>0</v>
      </c>
      <c r="E159" s="405">
        <f>-SCOG!F125</f>
        <v>0</v>
      </c>
      <c r="F159" s="419">
        <f t="shared" si="25"/>
        <v>0</v>
      </c>
      <c r="G159" s="420">
        <f>+SCOG!H125+SCOG!I125+SCOG!J125</f>
        <v>0</v>
      </c>
      <c r="H159" s="406">
        <f>SCOG!J125</f>
        <v>0</v>
      </c>
      <c r="I159" s="390">
        <f t="shared" si="21"/>
        <v>0</v>
      </c>
    </row>
    <row r="160" spans="1:10" ht="25.5" customHeight="1" x14ac:dyDescent="0.2">
      <c r="B160" s="664" t="s">
        <v>773</v>
      </c>
      <c r="C160" s="665"/>
      <c r="D160" s="405">
        <f>-SCOG!D126</f>
        <v>0</v>
      </c>
      <c r="E160" s="405">
        <f>-SCOG!F126</f>
        <v>0</v>
      </c>
      <c r="F160" s="419">
        <f t="shared" si="25"/>
        <v>0</v>
      </c>
      <c r="G160" s="420">
        <f>+SCOG!H126+SCOG!I126+SCOG!J126</f>
        <v>0</v>
      </c>
      <c r="H160" s="406">
        <f>SCOG!J126</f>
        <v>0</v>
      </c>
      <c r="I160" s="390">
        <f t="shared" si="21"/>
        <v>0</v>
      </c>
    </row>
    <row r="161" spans="1:10" x14ac:dyDescent="0.2">
      <c r="B161" s="664" t="s">
        <v>551</v>
      </c>
      <c r="C161" s="665"/>
      <c r="D161" s="405">
        <f>-SCOG!D127</f>
        <v>0</v>
      </c>
      <c r="E161" s="405">
        <f>-SCOG!F127</f>
        <v>0</v>
      </c>
      <c r="F161" s="419">
        <f t="shared" si="25"/>
        <v>0</v>
      </c>
      <c r="G161" s="420">
        <f>+SCOG!H127+SCOG!I127+SCOG!J127</f>
        <v>0</v>
      </c>
      <c r="H161" s="406">
        <f>SCOG!J127</f>
        <v>0</v>
      </c>
      <c r="I161" s="390">
        <f t="shared" si="21"/>
        <v>0</v>
      </c>
    </row>
    <row r="162" spans="1:10" x14ac:dyDescent="0.2">
      <c r="B162" s="664" t="s">
        <v>552</v>
      </c>
      <c r="C162" s="665"/>
      <c r="D162" s="405">
        <f>-SCOG!D128</f>
        <v>0</v>
      </c>
      <c r="E162" s="405">
        <f>-SCOG!F128</f>
        <v>0</v>
      </c>
      <c r="F162" s="419">
        <f t="shared" si="25"/>
        <v>0</v>
      </c>
      <c r="G162" s="420">
        <f>+SCOG!H128+SCOG!I128+SCOG!J128</f>
        <v>0</v>
      </c>
      <c r="H162" s="406">
        <f>SCOG!J128</f>
        <v>0</v>
      </c>
      <c r="I162" s="390">
        <f t="shared" si="21"/>
        <v>0</v>
      </c>
    </row>
    <row r="163" spans="1:10" s="361" customFormat="1" x14ac:dyDescent="0.2">
      <c r="A163" s="305"/>
      <c r="B163" s="461" t="s">
        <v>553</v>
      </c>
      <c r="C163" s="462"/>
      <c r="D163" s="463">
        <f>SUM(D164:D166)</f>
        <v>0</v>
      </c>
      <c r="E163" s="463">
        <f>SUM(E164:E166)</f>
        <v>0</v>
      </c>
      <c r="F163" s="464">
        <f>SUM(F164:F166)</f>
        <v>0</v>
      </c>
      <c r="G163" s="465">
        <f>SUM(G164:G166)</f>
        <v>0</v>
      </c>
      <c r="H163" s="464">
        <f>SUM(H164:H166)</f>
        <v>0</v>
      </c>
      <c r="I163" s="412">
        <f t="shared" si="21"/>
        <v>0</v>
      </c>
      <c r="J163" s="305"/>
    </row>
    <row r="164" spans="1:10" x14ac:dyDescent="0.2">
      <c r="B164" s="466" t="s">
        <v>554</v>
      </c>
      <c r="C164" s="467"/>
      <c r="D164" s="405">
        <f>-SCOG!D129</f>
        <v>0</v>
      </c>
      <c r="E164" s="405">
        <f>-SCOG!F129</f>
        <v>0</v>
      </c>
      <c r="F164" s="419">
        <f>+D164+E164</f>
        <v>0</v>
      </c>
      <c r="G164" s="420">
        <f>+SCOG!H129+SCOG!I129+SCOG!J129</f>
        <v>0</v>
      </c>
      <c r="H164" s="406">
        <f>SCOG!J129</f>
        <v>0</v>
      </c>
      <c r="I164" s="390">
        <f t="shared" si="21"/>
        <v>0</v>
      </c>
    </row>
    <row r="165" spans="1:10" x14ac:dyDescent="0.2">
      <c r="B165" s="466" t="s">
        <v>555</v>
      </c>
      <c r="C165" s="467"/>
      <c r="D165" s="405">
        <f>-SCOG!D130</f>
        <v>0</v>
      </c>
      <c r="E165" s="405">
        <f>-SCOG!F130</f>
        <v>0</v>
      </c>
      <c r="F165" s="419">
        <f>+D165+E165</f>
        <v>0</v>
      </c>
      <c r="G165" s="420">
        <f>+SCOG!H130+SCOG!I130+SCOG!J130</f>
        <v>0</v>
      </c>
      <c r="H165" s="406">
        <f>SCOG!J130</f>
        <v>0</v>
      </c>
      <c r="I165" s="390">
        <f t="shared" si="21"/>
        <v>0</v>
      </c>
    </row>
    <row r="166" spans="1:10" x14ac:dyDescent="0.2">
      <c r="B166" s="466" t="s">
        <v>556</v>
      </c>
      <c r="C166" s="467"/>
      <c r="D166" s="405">
        <f>-SCOG!D131</f>
        <v>0</v>
      </c>
      <c r="E166" s="405">
        <f>-SCOG!F131</f>
        <v>0</v>
      </c>
      <c r="F166" s="419">
        <f>+D166+E166</f>
        <v>0</v>
      </c>
      <c r="G166" s="420">
        <f>+SCOG!H131+SCOG!I131+SCOG!J131</f>
        <v>0</v>
      </c>
      <c r="H166" s="406">
        <f>SCOG!J131</f>
        <v>0</v>
      </c>
      <c r="I166" s="390">
        <f t="shared" si="21"/>
        <v>0</v>
      </c>
    </row>
    <row r="167" spans="1:10" s="365" customFormat="1" x14ac:dyDescent="0.2">
      <c r="A167" s="320"/>
      <c r="B167" s="662" t="s">
        <v>557</v>
      </c>
      <c r="C167" s="663"/>
      <c r="D167" s="468">
        <f>SUM(D168:D174)</f>
        <v>0</v>
      </c>
      <c r="E167" s="468">
        <f>SUM(E168:E174)</f>
        <v>0</v>
      </c>
      <c r="F167" s="469">
        <f>SUM(F168:F174)</f>
        <v>0</v>
      </c>
      <c r="G167" s="470">
        <f>SUM(G168:G174)</f>
        <v>0</v>
      </c>
      <c r="H167" s="469">
        <f>SUM(H168:H174)</f>
        <v>0</v>
      </c>
      <c r="I167" s="471">
        <f t="shared" si="21"/>
        <v>0</v>
      </c>
      <c r="J167" s="320"/>
    </row>
    <row r="168" spans="1:10" s="276" customFormat="1" x14ac:dyDescent="0.2">
      <c r="A168" s="275"/>
      <c r="B168" s="664" t="s">
        <v>558</v>
      </c>
      <c r="C168" s="665"/>
      <c r="D168" s="405">
        <f>-SCOG!D132</f>
        <v>0</v>
      </c>
      <c r="E168" s="405">
        <f>-SCOG!F132</f>
        <v>0</v>
      </c>
      <c r="F168" s="419">
        <f t="shared" ref="F168:F174" si="26">+D168+E168</f>
        <v>0</v>
      </c>
      <c r="G168" s="420">
        <f>+SCOG!H132+SCOG!I132+SCOG!J132</f>
        <v>0</v>
      </c>
      <c r="H168" s="406">
        <f>SCOG!J132</f>
        <v>0</v>
      </c>
      <c r="I168" s="472">
        <f t="shared" si="21"/>
        <v>0</v>
      </c>
      <c r="J168" s="275"/>
    </row>
    <row r="169" spans="1:10" s="276" customFormat="1" x14ac:dyDescent="0.2">
      <c r="A169" s="275"/>
      <c r="B169" s="664" t="s">
        <v>559</v>
      </c>
      <c r="C169" s="665"/>
      <c r="D169" s="405">
        <f>-SCOG!D133</f>
        <v>0</v>
      </c>
      <c r="E169" s="405">
        <f>-SCOG!F133</f>
        <v>0</v>
      </c>
      <c r="F169" s="419">
        <f t="shared" si="26"/>
        <v>0</v>
      </c>
      <c r="G169" s="420">
        <f>+SCOG!H133+SCOG!I133+SCOG!J133</f>
        <v>0</v>
      </c>
      <c r="H169" s="406">
        <f>SCOG!J133</f>
        <v>0</v>
      </c>
      <c r="I169" s="472">
        <f t="shared" si="21"/>
        <v>0</v>
      </c>
      <c r="J169" s="275"/>
    </row>
    <row r="170" spans="1:10" x14ac:dyDescent="0.2">
      <c r="B170" s="466" t="s">
        <v>560</v>
      </c>
      <c r="C170" s="467"/>
      <c r="D170" s="405">
        <f>-SCOG!D134</f>
        <v>0</v>
      </c>
      <c r="E170" s="405">
        <f>-SCOG!F134</f>
        <v>0</v>
      </c>
      <c r="F170" s="419">
        <f t="shared" si="26"/>
        <v>0</v>
      </c>
      <c r="G170" s="420">
        <f>+SCOG!H134+SCOG!I134+SCOG!J134</f>
        <v>0</v>
      </c>
      <c r="H170" s="406">
        <f>SCOG!J134</f>
        <v>0</v>
      </c>
      <c r="I170" s="390">
        <f>+F170-G170</f>
        <v>0</v>
      </c>
    </row>
    <row r="171" spans="1:10" x14ac:dyDescent="0.2">
      <c r="B171" s="466" t="s">
        <v>561</v>
      </c>
      <c r="C171" s="467"/>
      <c r="D171" s="405">
        <f>-SCOG!D135</f>
        <v>0</v>
      </c>
      <c r="E171" s="405">
        <f>-SCOG!F135</f>
        <v>0</v>
      </c>
      <c r="F171" s="419">
        <f t="shared" si="26"/>
        <v>0</v>
      </c>
      <c r="G171" s="420">
        <f>+SCOG!H135+SCOG!I135+SCOG!J135</f>
        <v>0</v>
      </c>
      <c r="H171" s="406">
        <f>SCOG!J135</f>
        <v>0</v>
      </c>
      <c r="I171" s="390">
        <f t="shared" si="21"/>
        <v>0</v>
      </c>
    </row>
    <row r="172" spans="1:10" x14ac:dyDescent="0.2">
      <c r="B172" s="466" t="s">
        <v>562</v>
      </c>
      <c r="C172" s="467"/>
      <c r="D172" s="405">
        <f>-SCOG!D136</f>
        <v>0</v>
      </c>
      <c r="E172" s="405">
        <f>-SCOG!F136</f>
        <v>0</v>
      </c>
      <c r="F172" s="419">
        <f t="shared" si="26"/>
        <v>0</v>
      </c>
      <c r="G172" s="420">
        <f>+SCOG!H136+SCOG!I136+SCOG!J136</f>
        <v>0</v>
      </c>
      <c r="H172" s="406">
        <f>SCOG!J136</f>
        <v>0</v>
      </c>
      <c r="I172" s="390">
        <f t="shared" si="21"/>
        <v>0</v>
      </c>
    </row>
    <row r="173" spans="1:10" x14ac:dyDescent="0.2">
      <c r="B173" s="466" t="s">
        <v>563</v>
      </c>
      <c r="C173" s="467"/>
      <c r="D173" s="405">
        <f>-SCOG!D137</f>
        <v>0</v>
      </c>
      <c r="E173" s="405">
        <f>-SCOG!F137</f>
        <v>0</v>
      </c>
      <c r="F173" s="419">
        <f t="shared" si="26"/>
        <v>0</v>
      </c>
      <c r="G173" s="420">
        <f>+SCOG!H137+SCOG!I137+SCOG!J137</f>
        <v>0</v>
      </c>
      <c r="H173" s="406">
        <f>SCOG!J137</f>
        <v>0</v>
      </c>
      <c r="I173" s="390">
        <f t="shared" si="21"/>
        <v>0</v>
      </c>
    </row>
    <row r="174" spans="1:10" x14ac:dyDescent="0.2">
      <c r="B174" s="466" t="s">
        <v>564</v>
      </c>
      <c r="C174" s="467"/>
      <c r="D174" s="405">
        <f>-SCOG!D138</f>
        <v>0</v>
      </c>
      <c r="E174" s="405">
        <f>-SCOG!F138</f>
        <v>0</v>
      </c>
      <c r="F174" s="419">
        <f t="shared" si="26"/>
        <v>0</v>
      </c>
      <c r="G174" s="420">
        <f>+SCOG!H138+SCOG!I138+SCOG!J138</f>
        <v>0</v>
      </c>
      <c r="H174" s="406">
        <f>SCOG!J138</f>
        <v>0</v>
      </c>
      <c r="I174" s="390">
        <f t="shared" si="21"/>
        <v>0</v>
      </c>
    </row>
    <row r="175" spans="1:10" x14ac:dyDescent="0.2">
      <c r="B175" s="466"/>
      <c r="C175" s="467"/>
      <c r="D175" s="405"/>
      <c r="E175" s="406"/>
      <c r="F175" s="407"/>
      <c r="G175" s="407"/>
      <c r="H175" s="406"/>
      <c r="I175" s="390"/>
    </row>
    <row r="176" spans="1:10" x14ac:dyDescent="0.2">
      <c r="B176" s="461" t="s">
        <v>569</v>
      </c>
      <c r="C176" s="462"/>
      <c r="D176" s="463">
        <f>+D13+D102</f>
        <v>130204948.28999999</v>
      </c>
      <c r="E176" s="463">
        <f>+E13+E102</f>
        <v>8790009.3699999992</v>
      </c>
      <c r="F176" s="464">
        <f>+F13+F102</f>
        <v>138994957.66</v>
      </c>
      <c r="G176" s="465">
        <f>+G13+G102</f>
        <v>26471793.890000001</v>
      </c>
      <c r="H176" s="464">
        <f>+H13+H102</f>
        <v>26471793.890000001</v>
      </c>
      <c r="I176" s="412">
        <f t="shared" si="21"/>
        <v>112523163.77</v>
      </c>
    </row>
    <row r="177" spans="2:10" x14ac:dyDescent="0.2">
      <c r="B177" s="473"/>
      <c r="C177" s="474"/>
      <c r="D177" s="475"/>
      <c r="E177" s="475"/>
      <c r="F177" s="476"/>
      <c r="G177" s="477"/>
      <c r="H177" s="476"/>
      <c r="I177" s="477"/>
    </row>
    <row r="178" spans="2:10" x14ac:dyDescent="0.2">
      <c r="B178" s="613" t="s">
        <v>149</v>
      </c>
      <c r="C178" s="613"/>
      <c r="D178" s="613"/>
      <c r="E178" s="613"/>
      <c r="F178" s="613"/>
      <c r="G178" s="613"/>
      <c r="H178" s="613"/>
      <c r="I178" s="478"/>
      <c r="J178" s="201"/>
    </row>
    <row r="179" spans="2:10" x14ac:dyDescent="0.2">
      <c r="B179" s="350"/>
      <c r="C179" s="350"/>
      <c r="D179" s="350"/>
      <c r="E179" s="350"/>
      <c r="F179" s="350"/>
      <c r="G179" s="350"/>
      <c r="H179" s="350"/>
      <c r="I179" s="478"/>
      <c r="J179" s="201"/>
    </row>
    <row r="180" spans="2:10" x14ac:dyDescent="0.2">
      <c r="B180" s="613"/>
      <c r="C180" s="613"/>
      <c r="D180" s="613"/>
      <c r="E180" s="613"/>
      <c r="F180" s="613"/>
      <c r="G180" s="613"/>
      <c r="H180" s="613"/>
      <c r="I180" s="478"/>
      <c r="J180" s="201"/>
    </row>
    <row r="181" spans="2:10" x14ac:dyDescent="0.2">
      <c r="B181" s="467"/>
      <c r="C181" s="467"/>
      <c r="D181" s="478"/>
      <c r="E181" s="478"/>
      <c r="F181" s="478"/>
      <c r="G181" s="478"/>
      <c r="H181" s="478"/>
      <c r="I181" s="478"/>
      <c r="J181" s="201"/>
    </row>
    <row r="182" spans="2:10" x14ac:dyDescent="0.2">
      <c r="B182" s="467"/>
      <c r="C182" s="467"/>
      <c r="D182" s="478"/>
      <c r="E182" s="478"/>
      <c r="F182" s="478"/>
      <c r="G182" s="478"/>
      <c r="H182" s="478"/>
      <c r="I182" s="478"/>
      <c r="J182" s="201"/>
    </row>
    <row r="183" spans="2:10" x14ac:dyDescent="0.2">
      <c r="B183" s="462"/>
      <c r="C183" s="462"/>
      <c r="D183" s="479"/>
      <c r="E183" s="479"/>
      <c r="F183" s="479"/>
      <c r="G183" s="479"/>
      <c r="H183" s="479"/>
      <c r="I183" s="479"/>
      <c r="J183" s="201"/>
    </row>
    <row r="184" spans="2:10" x14ac:dyDescent="0.2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 x14ac:dyDescent="0.2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10" x14ac:dyDescent="0.2">
      <c r="B186" s="316"/>
      <c r="C186" s="317"/>
      <c r="D186" s="318"/>
      <c r="E186" s="319"/>
      <c r="F186" s="318"/>
      <c r="G186" s="318"/>
      <c r="H186" s="318"/>
      <c r="I186" s="319"/>
    </row>
    <row r="187" spans="2:10" x14ac:dyDescent="0.2">
      <c r="B187" s="320"/>
      <c r="C187" s="636" t="str">
        <f>+ENTE!D10</f>
        <v xml:space="preserve">M. EN A.  GONZALO FERREIRA MARTÍNEZ </v>
      </c>
      <c r="D187" s="636"/>
      <c r="E187" s="305"/>
      <c r="F187" s="636" t="str">
        <f>+ENTE!D14</f>
        <v>C.P.  ELDA GRACIELA FLORES HERNÁNDEZ</v>
      </c>
      <c r="G187" s="636"/>
      <c r="H187" s="636"/>
      <c r="I187" s="305"/>
    </row>
    <row r="188" spans="2:10" x14ac:dyDescent="0.2">
      <c r="B188" s="320"/>
      <c r="C188" s="661" t="str">
        <f>+ENTE!D12</f>
        <v>DIRECTOR DE ADMINISTRACIÓN  Y FINANZAS</v>
      </c>
      <c r="D188" s="661"/>
      <c r="E188" s="305"/>
      <c r="F188" s="661" t="str">
        <f>+ENTE!D16</f>
        <v>JEFA DEL DEPARTAMENTO DE ADMINISTRACIÓN FINANCIERA</v>
      </c>
      <c r="G188" s="661"/>
      <c r="H188" s="661"/>
      <c r="I188" s="305"/>
    </row>
    <row r="189" spans="2:10" x14ac:dyDescent="0.2">
      <c r="B189" s="275"/>
      <c r="C189" s="275"/>
      <c r="D189" s="200"/>
      <c r="E189" s="200"/>
      <c r="F189" s="200"/>
      <c r="G189" s="200"/>
      <c r="H189" s="200"/>
      <c r="I189" s="200"/>
    </row>
  </sheetData>
  <sheetProtection algorithmName="SHA-512" hashValue="UDbcDd3NsTt14nxWuTNETXjY4XtMCzXSQFPeG19SRlgXUcj++GU2RL29wWh3hgF0egOQQpFJbchUFoN9ZPpGUA==" saltValue="cyb34sK9RLRfh4yyaQ1BMw==" spinCount="100000" sheet="1" objects="1" scenarios="1" selectLockedCells="1"/>
  <mergeCells count="67">
    <mergeCell ref="B157:C157"/>
    <mergeCell ref="B115:C115"/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131:C131"/>
    <mergeCell ref="B132:C132"/>
    <mergeCell ref="B121:C121"/>
    <mergeCell ref="B103:C103"/>
    <mergeCell ref="B156:C156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68:C68"/>
    <mergeCell ref="B73:C73"/>
    <mergeCell ref="B74:C74"/>
    <mergeCell ref="B112:C112"/>
    <mergeCell ref="C97:H97"/>
    <mergeCell ref="B71:C71"/>
    <mergeCell ref="B114:C114"/>
    <mergeCell ref="B14:C14"/>
    <mergeCell ref="B25:C25"/>
    <mergeCell ref="B27:C27"/>
    <mergeCell ref="B29:C29"/>
    <mergeCell ref="B34:C34"/>
    <mergeCell ref="B56:C56"/>
    <mergeCell ref="B57:C57"/>
    <mergeCell ref="B58:C58"/>
    <mergeCell ref="B64:C64"/>
    <mergeCell ref="B65:C65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</mergeCells>
  <hyperlinks>
    <hyperlink ref="B91:C91" location="RENDICIÓN" display="RENDICIÓN DE LA CUENTA PÚBLICA"/>
  </hyperlink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topLeftCell="E49" zoomScale="98" zoomScaleNormal="115" zoomScaleSheetLayoutView="98" workbookViewId="0">
      <selection activeCell="J24" sqref="J24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02" t="s">
        <v>381</v>
      </c>
      <c r="D2" s="602"/>
      <c r="E2" s="602"/>
      <c r="F2" s="602"/>
      <c r="G2" s="602"/>
      <c r="H2" s="602"/>
      <c r="I2" s="281"/>
      <c r="J2" s="281"/>
    </row>
    <row r="3" spans="2:11" s="2" customFormat="1" x14ac:dyDescent="0.2">
      <c r="C3" s="603" t="s">
        <v>368</v>
      </c>
      <c r="D3" s="603"/>
      <c r="E3" s="603"/>
      <c r="F3" s="603"/>
      <c r="G3" s="603"/>
      <c r="H3" s="603"/>
    </row>
    <row r="4" spans="2:11" s="2" customFormat="1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</row>
    <row r="5" spans="2:11" s="2" customFormat="1" x14ac:dyDescent="0.2">
      <c r="C5" s="603" t="s">
        <v>92</v>
      </c>
      <c r="D5" s="603"/>
      <c r="E5" s="603"/>
      <c r="F5" s="603"/>
      <c r="G5" s="603"/>
      <c r="H5" s="603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  <c r="J7" s="604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1" t="s">
        <v>381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/>
      <c r="C11" s="292" t="s">
        <v>767</v>
      </c>
      <c r="D11" s="188" t="s">
        <v>422</v>
      </c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1" t="s">
        <v>22</v>
      </c>
      <c r="D24" s="188">
        <v>-130204948.29000001</v>
      </c>
      <c r="E24" s="188">
        <v>112523163.77</v>
      </c>
      <c r="F24" s="188">
        <v>-8790009.3699999992</v>
      </c>
      <c r="G24" s="188">
        <v>0</v>
      </c>
      <c r="H24" s="188">
        <v>0</v>
      </c>
      <c r="I24" s="188">
        <v>0</v>
      </c>
      <c r="J24" s="190">
        <v>26471793.890000001</v>
      </c>
      <c r="K24" s="19"/>
    </row>
    <row r="25" spans="2:11" x14ac:dyDescent="0.2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2" t="s">
        <v>766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1" t="s">
        <v>22</v>
      </c>
      <c r="D54" s="188"/>
      <c r="E54" s="188"/>
      <c r="F54" s="188"/>
      <c r="G54" s="188"/>
      <c r="H54" s="188"/>
      <c r="I54" s="188"/>
      <c r="J54" s="190"/>
      <c r="K54" s="19"/>
    </row>
    <row r="55" spans="2:11" x14ac:dyDescent="0.2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-130204948.29000001</v>
      </c>
      <c r="E71" s="10">
        <f t="shared" ref="E71:J71" si="0">SUM(E12:E70)</f>
        <v>112523163.77</v>
      </c>
      <c r="F71" s="10">
        <f t="shared" si="0"/>
        <v>-8790009.3699999992</v>
      </c>
      <c r="G71" s="10">
        <f t="shared" si="0"/>
        <v>0</v>
      </c>
      <c r="H71" s="10">
        <f t="shared" si="0"/>
        <v>0</v>
      </c>
      <c r="I71" s="10">
        <f t="shared" si="0"/>
        <v>0</v>
      </c>
      <c r="J71" s="10">
        <f t="shared" si="0"/>
        <v>26471793.890000001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algorithmName="SHA-512" hashValue="WHd6ZpIomfWWk81X+DZqEqFP7D7ObytbLFcDFMTQ47Z9Ia3+2fNE1jM16uyuemALJ4gIt4lWaCkrpXuMJgAELg==" saltValue="/0dFhQHtV9u1CFSTTjixzA==" spinCount="100000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topLeftCell="B25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02"/>
      <c r="C2" s="602"/>
      <c r="D2" s="602"/>
      <c r="E2" s="602"/>
      <c r="F2" s="602"/>
      <c r="G2" s="602"/>
      <c r="H2" s="602"/>
      <c r="I2" s="602"/>
    </row>
    <row r="3" spans="1:10" ht="12" customHeight="1" x14ac:dyDescent="0.2">
      <c r="B3" s="617" t="s">
        <v>301</v>
      </c>
      <c r="C3" s="617"/>
      <c r="D3" s="617"/>
      <c r="E3" s="617"/>
      <c r="F3" s="617"/>
      <c r="G3" s="617"/>
      <c r="H3" s="617"/>
      <c r="I3" s="617"/>
    </row>
    <row r="4" spans="1:10" ht="12" customHeight="1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</row>
    <row r="5" spans="1:10" ht="12" customHeight="1" x14ac:dyDescent="0.2">
      <c r="B5" s="617" t="s">
        <v>92</v>
      </c>
      <c r="C5" s="617"/>
      <c r="D5" s="617"/>
      <c r="E5" s="617"/>
      <c r="F5" s="617"/>
      <c r="G5" s="617"/>
      <c r="H5" s="617"/>
      <c r="I5" s="617"/>
    </row>
    <row r="6" spans="1:10" s="21" customFormat="1" ht="12" customHeight="1" x14ac:dyDescent="0.2">
      <c r="B6" s="617"/>
      <c r="C6" s="617"/>
      <c r="D6" s="617"/>
      <c r="E6" s="617"/>
      <c r="F6" s="617"/>
      <c r="G6" s="617"/>
      <c r="H6" s="617"/>
      <c r="I6" s="617"/>
    </row>
    <row r="7" spans="1:10" s="21" customFormat="1" ht="12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</row>
    <row r="8" spans="1:10" s="21" customFormat="1" ht="12" customHeight="1" x14ac:dyDescent="0.2"/>
    <row r="9" spans="1:10" x14ac:dyDescent="0.2">
      <c r="B9" s="660" t="s">
        <v>93</v>
      </c>
      <c r="C9" s="660"/>
      <c r="D9" s="656" t="s">
        <v>770</v>
      </c>
      <c r="E9" s="656"/>
      <c r="F9" s="656"/>
      <c r="G9" s="656"/>
      <c r="H9" s="656"/>
      <c r="I9" s="656" t="s">
        <v>645</v>
      </c>
    </row>
    <row r="10" spans="1:10" ht="24" x14ac:dyDescent="0.2">
      <c r="B10" s="660"/>
      <c r="C10" s="660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6"/>
    </row>
    <row r="11" spans="1:10" x14ac:dyDescent="0.2">
      <c r="B11" s="660"/>
      <c r="C11" s="660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692" t="s">
        <v>302</v>
      </c>
      <c r="C13" s="693"/>
      <c r="D13" s="360">
        <f t="shared" ref="D13:I13" si="0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692" t="s">
        <v>303</v>
      </c>
      <c r="C22" s="693"/>
      <c r="D22" s="360">
        <f>SUM(D23:D29)</f>
        <v>130204948.29000001</v>
      </c>
      <c r="E22" s="360">
        <f>SUM(E23:E29)</f>
        <v>8790009.3699999992</v>
      </c>
      <c r="F22" s="360">
        <f>+D22+E22</f>
        <v>138994957.66</v>
      </c>
      <c r="G22" s="360">
        <f>SUM(G23:G29)</f>
        <v>26471793.890000001</v>
      </c>
      <c r="H22" s="360">
        <f>SUM(H23:H29)</f>
        <v>26471793.890000001</v>
      </c>
      <c r="I22" s="360">
        <f>+F22-G22</f>
        <v>112523163.77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130204948.29000001</v>
      </c>
      <c r="E27" s="105">
        <f>-(SCFG!F24+SCFG!F54)</f>
        <v>8790009.3699999992</v>
      </c>
      <c r="F27" s="105">
        <f t="shared" si="4"/>
        <v>138994957.66</v>
      </c>
      <c r="G27" s="105">
        <f>SUM(SCFG!H24+SCFG!H54,SCFG!I24+SCFG!I54,SCFG!J24+SCFG!J54)</f>
        <v>26471793.890000001</v>
      </c>
      <c r="H27" s="105">
        <f>(SCFG!J24+SCFG!J54)</f>
        <v>26471793.890000001</v>
      </c>
      <c r="I27" s="105">
        <f t="shared" si="3"/>
        <v>112523163.77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692" t="s">
        <v>304</v>
      </c>
      <c r="C30" s="693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692" t="s">
        <v>305</v>
      </c>
      <c r="C40" s="693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 x14ac:dyDescent="0.25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75"/>
      <c r="C45" s="376" t="s">
        <v>248</v>
      </c>
      <c r="D45" s="398">
        <f t="shared" ref="D45:I45" si="7">+D13+D22+D30+D40</f>
        <v>130204948.29000001</v>
      </c>
      <c r="E45" s="398">
        <f t="shared" si="7"/>
        <v>8790009.3699999992</v>
      </c>
      <c r="F45" s="398">
        <f t="shared" si="7"/>
        <v>138994957.66</v>
      </c>
      <c r="G45" s="398">
        <f t="shared" si="7"/>
        <v>26471793.890000001</v>
      </c>
      <c r="H45" s="398">
        <f t="shared" si="7"/>
        <v>26471793.890000001</v>
      </c>
      <c r="I45" s="398">
        <f t="shared" si="7"/>
        <v>112523163.77</v>
      </c>
      <c r="J45" s="153"/>
    </row>
    <row r="46" spans="1:10" x14ac:dyDescent="0.2">
      <c r="B46" s="613" t="s">
        <v>149</v>
      </c>
      <c r="C46" s="613"/>
      <c r="D46" s="613"/>
      <c r="E46" s="613"/>
      <c r="F46" s="613"/>
      <c r="G46" s="613"/>
      <c r="H46" s="613"/>
    </row>
    <row r="47" spans="1:10" ht="52.5" hidden="1" customHeight="1" x14ac:dyDescent="0.2">
      <c r="B47" s="638" t="s">
        <v>249</v>
      </c>
      <c r="C47" s="639"/>
      <c r="D47" s="639"/>
      <c r="E47" s="639"/>
      <c r="F47" s="639"/>
      <c r="G47" s="639"/>
      <c r="H47" s="639"/>
      <c r="I47" s="639"/>
    </row>
    <row r="48" spans="1:10" x14ac:dyDescent="0.2">
      <c r="B48" s="613"/>
      <c r="C48" s="613"/>
      <c r="D48" s="613"/>
      <c r="E48" s="613"/>
      <c r="F48" s="613"/>
      <c r="G48" s="613"/>
      <c r="H48" s="613"/>
      <c r="I48" s="143"/>
    </row>
    <row r="49" spans="2:9" x14ac:dyDescent="0.2">
      <c r="B49" s="350"/>
      <c r="C49" s="350"/>
      <c r="D49" s="350"/>
      <c r="E49" s="350"/>
      <c r="F49" s="350"/>
      <c r="G49" s="350"/>
      <c r="H49" s="350"/>
      <c r="I49" s="143"/>
    </row>
    <row r="50" spans="2:9" x14ac:dyDescent="0.2">
      <c r="B50" s="350"/>
      <c r="C50" s="350"/>
      <c r="D50" s="350"/>
      <c r="E50" s="350"/>
      <c r="F50" s="350"/>
      <c r="G50" s="350"/>
      <c r="H50" s="350"/>
      <c r="I50" s="143"/>
    </row>
    <row r="51" spans="2:9" x14ac:dyDescent="0.2">
      <c r="B51" s="350"/>
      <c r="C51" s="358"/>
      <c r="D51" s="358"/>
      <c r="E51" s="358"/>
      <c r="F51" s="358"/>
      <c r="G51" s="358"/>
      <c r="H51" s="358"/>
      <c r="I51" s="310"/>
    </row>
    <row r="52" spans="2:9" x14ac:dyDescent="0.2">
      <c r="B52" s="350"/>
      <c r="C52" s="358"/>
      <c r="D52" s="358"/>
      <c r="E52" s="358"/>
      <c r="F52" s="358"/>
      <c r="G52" s="358"/>
      <c r="H52" s="358"/>
      <c r="I52" s="310"/>
    </row>
    <row r="53" spans="2:9" x14ac:dyDescent="0.2">
      <c r="B53" s="350"/>
      <c r="C53" s="314"/>
      <c r="D53" s="358"/>
      <c r="E53" s="358"/>
      <c r="F53" s="314"/>
      <c r="G53" s="314"/>
      <c r="H53" s="314"/>
      <c r="I53" s="312"/>
    </row>
    <row r="54" spans="2:9" ht="15" customHeight="1" x14ac:dyDescent="0.2">
      <c r="C54" s="356" t="str">
        <f>+ENTE!D10</f>
        <v xml:space="preserve">M. EN A.  GONZALO FERREIRA MARTÍNEZ </v>
      </c>
      <c r="D54" s="356"/>
      <c r="E54" s="356"/>
      <c r="F54" s="649" t="str">
        <f>+ENTE!D14</f>
        <v>C.P.  ELDA GRACIELA FLORES HERNÁNDEZ</v>
      </c>
      <c r="G54" s="649"/>
      <c r="H54" s="649"/>
      <c r="I54" s="649"/>
    </row>
    <row r="55" spans="2:9" ht="15" customHeight="1" x14ac:dyDescent="0.2">
      <c r="C55" s="356" t="str">
        <f>+ENTE!D12</f>
        <v>DIRECTOR DE ADMINISTRACIÓN  Y FINANZAS</v>
      </c>
      <c r="D55" s="356"/>
      <c r="E55" s="356"/>
      <c r="F55" s="648" t="str">
        <f>+ENTE!D16</f>
        <v>JEFA DEL DEPARTAMENTO DE ADMINISTRACIÓN FINANCIERA</v>
      </c>
      <c r="G55" s="648"/>
      <c r="H55" s="648"/>
      <c r="I55" s="648"/>
    </row>
    <row r="56" spans="2:9" x14ac:dyDescent="0.2">
      <c r="D56" s="143"/>
      <c r="E56" s="143"/>
      <c r="F56" s="143"/>
      <c r="G56" s="143"/>
      <c r="H56" s="143"/>
      <c r="I56" s="144"/>
    </row>
  </sheetData>
  <sheetProtection algorithmName="SHA-512" hashValue="BgIc1wRQB4mqvrVJElnWKo7V2Pds5ugsnBo4FImc5e08N6hwMfvGLir9oVD0oSWVi/hodEJIo2Pa1Zu0hqb5RQ==" saltValue="kZpDcGnXVWDztd39MSR26w==" spinCount="100000" sheet="1" objects="1" scenarios="1" selectLockedCells="1"/>
  <mergeCells count="18"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D62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02"/>
      <c r="C2" s="602"/>
      <c r="D2" s="602"/>
      <c r="E2" s="602"/>
      <c r="F2" s="602"/>
      <c r="G2" s="602"/>
      <c r="H2" s="602"/>
      <c r="I2" s="602"/>
    </row>
    <row r="3" spans="1:10" x14ac:dyDescent="0.2">
      <c r="B3" s="621" t="s">
        <v>638</v>
      </c>
      <c r="C3" s="621"/>
      <c r="D3" s="621"/>
      <c r="E3" s="621"/>
      <c r="F3" s="621"/>
      <c r="G3" s="621"/>
      <c r="H3" s="621"/>
      <c r="I3" s="621"/>
    </row>
    <row r="4" spans="1:10" x14ac:dyDescent="0.2">
      <c r="B4" s="621" t="s">
        <v>641</v>
      </c>
      <c r="C4" s="621"/>
      <c r="D4" s="621"/>
      <c r="E4" s="621"/>
      <c r="F4" s="621"/>
      <c r="G4" s="621"/>
      <c r="H4" s="621"/>
      <c r="I4" s="621"/>
    </row>
    <row r="5" spans="1:10" x14ac:dyDescent="0.2">
      <c r="B5" s="621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1"/>
      <c r="D5" s="621"/>
      <c r="E5" s="621"/>
      <c r="F5" s="621"/>
      <c r="G5" s="621"/>
      <c r="H5" s="621"/>
      <c r="I5" s="621"/>
    </row>
    <row r="6" spans="1:10" x14ac:dyDescent="0.2">
      <c r="B6" s="621" t="s">
        <v>92</v>
      </c>
      <c r="C6" s="621"/>
      <c r="D6" s="621"/>
      <c r="E6" s="621"/>
      <c r="F6" s="621"/>
      <c r="G6" s="621"/>
      <c r="H6" s="621"/>
      <c r="I6" s="621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 t="s">
        <v>4</v>
      </c>
      <c r="C8" s="629" t="str">
        <f>+ENTE!D8</f>
        <v xml:space="preserve">UNIVERSIDAD TECNOLÓGICA DE SAN JUAN DEL RÍO </v>
      </c>
      <c r="D8" s="629"/>
      <c r="E8" s="629"/>
      <c r="F8" s="629"/>
      <c r="G8" s="629"/>
      <c r="H8" s="629"/>
      <c r="I8" s="299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686" t="s">
        <v>393</v>
      </c>
      <c r="C10" s="480"/>
      <c r="D10" s="656" t="s">
        <v>494</v>
      </c>
      <c r="E10" s="656"/>
      <c r="F10" s="656"/>
      <c r="G10" s="656"/>
      <c r="H10" s="656"/>
      <c r="I10" s="656" t="s">
        <v>645</v>
      </c>
    </row>
    <row r="11" spans="1:10" ht="28.5" customHeight="1" x14ac:dyDescent="0.2">
      <c r="B11" s="688"/>
      <c r="C11" s="481"/>
      <c r="D11" s="357" t="s">
        <v>495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656"/>
    </row>
    <row r="12" spans="1:10" x14ac:dyDescent="0.2">
      <c r="B12" s="482" t="s">
        <v>583</v>
      </c>
      <c r="C12" s="483"/>
      <c r="D12" s="482">
        <f>+D13+D22+D30+D40</f>
        <v>130204948.29000001</v>
      </c>
      <c r="E12" s="482">
        <f>+E13+E22+E30+E40</f>
        <v>8790009.3699999992</v>
      </c>
      <c r="F12" s="484">
        <f>+F13+F22+F30+F40</f>
        <v>138994957.66</v>
      </c>
      <c r="G12" s="485">
        <f>+G13+G22+G30+G40</f>
        <v>26471793.890000001</v>
      </c>
      <c r="H12" s="485">
        <f>+H13+H22+H30+H40</f>
        <v>26471793.890000001</v>
      </c>
      <c r="I12" s="485">
        <f>+F12-G12</f>
        <v>112523163.77</v>
      </c>
    </row>
    <row r="13" spans="1:10" s="207" customFormat="1" x14ac:dyDescent="0.2">
      <c r="A13" s="200"/>
      <c r="B13" s="694" t="s">
        <v>584</v>
      </c>
      <c r="C13" s="695"/>
      <c r="D13" s="482">
        <f>SUM(D14:D21)</f>
        <v>0</v>
      </c>
      <c r="E13" s="482">
        <f t="shared" ref="E13:H13" si="0">SUM(E14:E21)</f>
        <v>0</v>
      </c>
      <c r="F13" s="484">
        <f t="shared" si="0"/>
        <v>0</v>
      </c>
      <c r="G13" s="485">
        <f t="shared" si="0"/>
        <v>0</v>
      </c>
      <c r="H13" s="485">
        <f t="shared" si="0"/>
        <v>0</v>
      </c>
      <c r="I13" s="486">
        <f>+F13-G13</f>
        <v>0</v>
      </c>
      <c r="J13" s="200"/>
    </row>
    <row r="14" spans="1:10" x14ac:dyDescent="0.2">
      <c r="B14" s="487" t="s">
        <v>585</v>
      </c>
      <c r="C14" s="488"/>
      <c r="D14" s="491">
        <f>-SCFG!D12</f>
        <v>0</v>
      </c>
      <c r="E14" s="491">
        <f>-SCFG!F12</f>
        <v>0</v>
      </c>
      <c r="F14" s="506">
        <f>+D14+E14</f>
        <v>0</v>
      </c>
      <c r="G14" s="507">
        <f>(SCFG!H12+SCFG!I12+SCFG!J12)</f>
        <v>0</v>
      </c>
      <c r="H14" s="507">
        <f>SCFG!J12</f>
        <v>0</v>
      </c>
      <c r="I14" s="486">
        <f t="shared" ref="I14:I44" si="1">+F14-G14</f>
        <v>0</v>
      </c>
    </row>
    <row r="15" spans="1:10" x14ac:dyDescent="0.2">
      <c r="B15" s="487" t="s">
        <v>586</v>
      </c>
      <c r="C15" s="488"/>
      <c r="D15" s="491">
        <f>-SCFG!D13</f>
        <v>0</v>
      </c>
      <c r="E15" s="491">
        <f>-SCFG!F13</f>
        <v>0</v>
      </c>
      <c r="F15" s="506">
        <f t="shared" ref="F15:F44" si="2">+D15+E15</f>
        <v>0</v>
      </c>
      <c r="G15" s="507">
        <f>(SCFG!H13+SCFG!I13+SCFG!J13)</f>
        <v>0</v>
      </c>
      <c r="H15" s="507">
        <f>SCFG!J13</f>
        <v>0</v>
      </c>
      <c r="I15" s="486">
        <f t="shared" si="1"/>
        <v>0</v>
      </c>
    </row>
    <row r="16" spans="1:10" x14ac:dyDescent="0.2">
      <c r="B16" s="696" t="s">
        <v>587</v>
      </c>
      <c r="C16" s="697"/>
      <c r="D16" s="491">
        <f>-SCFG!D14</f>
        <v>0</v>
      </c>
      <c r="E16" s="491">
        <f>-SCFG!F14</f>
        <v>0</v>
      </c>
      <c r="F16" s="506">
        <f t="shared" si="2"/>
        <v>0</v>
      </c>
      <c r="G16" s="507">
        <f>(SCFG!H14+SCFG!I14+SCFG!J14)</f>
        <v>0</v>
      </c>
      <c r="H16" s="507">
        <f>SCFG!J14</f>
        <v>0</v>
      </c>
      <c r="I16" s="486">
        <f t="shared" si="1"/>
        <v>0</v>
      </c>
    </row>
    <row r="17" spans="1:10" x14ac:dyDescent="0.2">
      <c r="B17" s="487" t="s">
        <v>588</v>
      </c>
      <c r="C17" s="488"/>
      <c r="D17" s="491">
        <f>-SCFG!D15</f>
        <v>0</v>
      </c>
      <c r="E17" s="491">
        <f>-SCFG!F15</f>
        <v>0</v>
      </c>
      <c r="F17" s="506">
        <f t="shared" si="2"/>
        <v>0</v>
      </c>
      <c r="G17" s="507">
        <f>(SCFG!H15+SCFG!I15+SCFG!J15)</f>
        <v>0</v>
      </c>
      <c r="H17" s="507">
        <f>SCFG!J15</f>
        <v>0</v>
      </c>
      <c r="I17" s="486">
        <f t="shared" si="1"/>
        <v>0</v>
      </c>
    </row>
    <row r="18" spans="1:10" x14ac:dyDescent="0.2">
      <c r="B18" s="696" t="s">
        <v>589</v>
      </c>
      <c r="C18" s="697"/>
      <c r="D18" s="491">
        <f>-SCFG!D16</f>
        <v>0</v>
      </c>
      <c r="E18" s="491">
        <f>-SCFG!F16</f>
        <v>0</v>
      </c>
      <c r="F18" s="506">
        <f t="shared" si="2"/>
        <v>0</v>
      </c>
      <c r="G18" s="507">
        <f>(SCFG!H16+SCFG!I16+SCFG!J16)</f>
        <v>0</v>
      </c>
      <c r="H18" s="507">
        <f>SCFG!J16</f>
        <v>0</v>
      </c>
      <c r="I18" s="486">
        <f t="shared" si="1"/>
        <v>0</v>
      </c>
    </row>
    <row r="19" spans="1:10" x14ac:dyDescent="0.2">
      <c r="B19" s="487" t="s">
        <v>590</v>
      </c>
      <c r="C19" s="488"/>
      <c r="D19" s="491">
        <f>-SCFG!D17</f>
        <v>0</v>
      </c>
      <c r="E19" s="491">
        <f>-SCFG!F17</f>
        <v>0</v>
      </c>
      <c r="F19" s="506">
        <f t="shared" si="2"/>
        <v>0</v>
      </c>
      <c r="G19" s="507">
        <f>(SCFG!H17+SCFG!I17+SCFG!J17)</f>
        <v>0</v>
      </c>
      <c r="H19" s="507">
        <f>SCFG!J17</f>
        <v>0</v>
      </c>
      <c r="I19" s="486">
        <f t="shared" si="1"/>
        <v>0</v>
      </c>
    </row>
    <row r="20" spans="1:10" x14ac:dyDescent="0.2">
      <c r="B20" s="696" t="s">
        <v>591</v>
      </c>
      <c r="C20" s="697"/>
      <c r="D20" s="491">
        <f>-SCFG!D18</f>
        <v>0</v>
      </c>
      <c r="E20" s="491">
        <f>-SCFG!F18</f>
        <v>0</v>
      </c>
      <c r="F20" s="506">
        <f t="shared" si="2"/>
        <v>0</v>
      </c>
      <c r="G20" s="507">
        <f>(SCFG!H18+SCFG!I18+SCFG!J18)</f>
        <v>0</v>
      </c>
      <c r="H20" s="507">
        <f>SCFG!J18</f>
        <v>0</v>
      </c>
      <c r="I20" s="486">
        <f t="shared" si="1"/>
        <v>0</v>
      </c>
    </row>
    <row r="21" spans="1:10" x14ac:dyDescent="0.2">
      <c r="B21" s="487" t="s">
        <v>661</v>
      </c>
      <c r="C21" s="488"/>
      <c r="D21" s="491">
        <f>-SCFG!D19</f>
        <v>0</v>
      </c>
      <c r="E21" s="491">
        <f>-SCFG!F19</f>
        <v>0</v>
      </c>
      <c r="F21" s="506">
        <f t="shared" si="2"/>
        <v>0</v>
      </c>
      <c r="G21" s="507">
        <f>(SCFG!H19+SCFG!I19+SCFG!J19)</f>
        <v>0</v>
      </c>
      <c r="H21" s="507">
        <f>SCFG!J19</f>
        <v>0</v>
      </c>
      <c r="I21" s="486">
        <f t="shared" si="1"/>
        <v>0</v>
      </c>
    </row>
    <row r="22" spans="1:10" x14ac:dyDescent="0.2">
      <c r="B22" s="489" t="s">
        <v>592</v>
      </c>
      <c r="C22" s="490"/>
      <c r="D22" s="482">
        <f>SUM(D23:D29)</f>
        <v>130204948.29000001</v>
      </c>
      <c r="E22" s="482">
        <f>SUM(E23:E29)</f>
        <v>8790009.3699999992</v>
      </c>
      <c r="F22" s="484">
        <f t="shared" ref="F22:H22" si="3">SUM(F23:F29)</f>
        <v>138994957.66</v>
      </c>
      <c r="G22" s="485">
        <f t="shared" si="3"/>
        <v>26471793.890000001</v>
      </c>
      <c r="H22" s="485">
        <f t="shared" si="3"/>
        <v>26471793.890000001</v>
      </c>
      <c r="I22" s="486">
        <f t="shared" si="1"/>
        <v>112523163.77</v>
      </c>
    </row>
    <row r="23" spans="1:10" x14ac:dyDescent="0.2">
      <c r="B23" s="487" t="s">
        <v>593</v>
      </c>
      <c r="C23" s="488"/>
      <c r="D23" s="491">
        <f>-SCFG!D20</f>
        <v>0</v>
      </c>
      <c r="E23" s="491">
        <f>-SCFG!F20</f>
        <v>0</v>
      </c>
      <c r="F23" s="506">
        <f t="shared" si="2"/>
        <v>0</v>
      </c>
      <c r="G23" s="507">
        <f>(SCFG!H20+SCFG!I20+SCFG!J20)</f>
        <v>0</v>
      </c>
      <c r="H23" s="507">
        <f>SCFG!J20</f>
        <v>0</v>
      </c>
      <c r="I23" s="486">
        <f t="shared" si="1"/>
        <v>0</v>
      </c>
    </row>
    <row r="24" spans="1:10" x14ac:dyDescent="0.2">
      <c r="B24" s="491" t="s">
        <v>594</v>
      </c>
      <c r="C24" s="492"/>
      <c r="D24" s="491">
        <f>-SCFG!D21</f>
        <v>0</v>
      </c>
      <c r="E24" s="491">
        <f>-SCFG!F21</f>
        <v>0</v>
      </c>
      <c r="F24" s="506">
        <f t="shared" si="2"/>
        <v>0</v>
      </c>
      <c r="G24" s="507">
        <f>(SCFG!H21+SCFG!I21+SCFG!J21)</f>
        <v>0</v>
      </c>
      <c r="H24" s="507">
        <f>SCFG!J21</f>
        <v>0</v>
      </c>
      <c r="I24" s="486">
        <f t="shared" si="1"/>
        <v>0</v>
      </c>
    </row>
    <row r="25" spans="1:10" x14ac:dyDescent="0.2">
      <c r="B25" s="487" t="s">
        <v>662</v>
      </c>
      <c r="C25" s="488"/>
      <c r="D25" s="491">
        <f>-SCFG!D22</f>
        <v>0</v>
      </c>
      <c r="E25" s="491">
        <f>-SCFG!F22</f>
        <v>0</v>
      </c>
      <c r="F25" s="506">
        <f t="shared" si="2"/>
        <v>0</v>
      </c>
      <c r="G25" s="507">
        <f>(SCFG!H22+SCFG!I22+SCFG!J22)</f>
        <v>0</v>
      </c>
      <c r="H25" s="507">
        <f>SCFG!J22</f>
        <v>0</v>
      </c>
      <c r="I25" s="486">
        <f t="shared" si="1"/>
        <v>0</v>
      </c>
    </row>
    <row r="26" spans="1:10" x14ac:dyDescent="0.2">
      <c r="B26" s="491" t="s">
        <v>595</v>
      </c>
      <c r="C26" s="492"/>
      <c r="D26" s="491">
        <f>-SCFG!D23</f>
        <v>0</v>
      </c>
      <c r="E26" s="491">
        <f>-SCFG!F23</f>
        <v>0</v>
      </c>
      <c r="F26" s="506">
        <f t="shared" si="2"/>
        <v>0</v>
      </c>
      <c r="G26" s="507">
        <f>(SCFG!H23+SCFG!I23+SCFG!J23)</f>
        <v>0</v>
      </c>
      <c r="H26" s="507">
        <f>SCFG!J23</f>
        <v>0</v>
      </c>
      <c r="I26" s="486">
        <f t="shared" si="1"/>
        <v>0</v>
      </c>
    </row>
    <row r="27" spans="1:10" x14ac:dyDescent="0.2">
      <c r="B27" s="487" t="s">
        <v>596</v>
      </c>
      <c r="C27" s="488"/>
      <c r="D27" s="491">
        <f>-SCFG!D24</f>
        <v>130204948.29000001</v>
      </c>
      <c r="E27" s="491">
        <f>-SCFG!F24</f>
        <v>8790009.3699999992</v>
      </c>
      <c r="F27" s="506">
        <f t="shared" si="2"/>
        <v>138994957.66</v>
      </c>
      <c r="G27" s="507">
        <f>(SCFG!H24+SCFG!I24+SCFG!J24)</f>
        <v>26471793.890000001</v>
      </c>
      <c r="H27" s="507">
        <f>SCFG!J24</f>
        <v>26471793.890000001</v>
      </c>
      <c r="I27" s="486">
        <f t="shared" si="1"/>
        <v>112523163.77</v>
      </c>
    </row>
    <row r="28" spans="1:10" x14ac:dyDescent="0.2">
      <c r="B28" s="491" t="s">
        <v>597</v>
      </c>
      <c r="C28" s="492"/>
      <c r="D28" s="491">
        <f>-SCFG!D25</f>
        <v>0</v>
      </c>
      <c r="E28" s="491">
        <f>-SCFG!F25</f>
        <v>0</v>
      </c>
      <c r="F28" s="506">
        <f t="shared" si="2"/>
        <v>0</v>
      </c>
      <c r="G28" s="507">
        <f>(SCFG!H25+SCFG!I25+SCFG!J25)</f>
        <v>0</v>
      </c>
      <c r="H28" s="507">
        <f>SCFG!J25</f>
        <v>0</v>
      </c>
      <c r="I28" s="486">
        <f t="shared" si="1"/>
        <v>0</v>
      </c>
    </row>
    <row r="29" spans="1:10" x14ac:dyDescent="0.2">
      <c r="B29" s="491" t="s">
        <v>598</v>
      </c>
      <c r="C29" s="492"/>
      <c r="D29" s="491">
        <f>-SCFG!D26</f>
        <v>0</v>
      </c>
      <c r="E29" s="491">
        <f>-SCFG!F26</f>
        <v>0</v>
      </c>
      <c r="F29" s="506">
        <f t="shared" si="2"/>
        <v>0</v>
      </c>
      <c r="G29" s="507">
        <f>(SCFG!H26+SCFG!I26+SCFG!J26)</f>
        <v>0</v>
      </c>
      <c r="H29" s="507">
        <f>SCFG!J26</f>
        <v>0</v>
      </c>
      <c r="I29" s="486">
        <f t="shared" si="1"/>
        <v>0</v>
      </c>
    </row>
    <row r="30" spans="1:10" s="361" customFormat="1" x14ac:dyDescent="0.2">
      <c r="A30" s="305"/>
      <c r="B30" s="489" t="s">
        <v>620</v>
      </c>
      <c r="C30" s="490"/>
      <c r="D30" s="482">
        <f>SUM(D31:D39)</f>
        <v>0</v>
      </c>
      <c r="E30" s="482">
        <f>SUM(E31:E39)</f>
        <v>0</v>
      </c>
      <c r="F30" s="484">
        <f t="shared" ref="F30:H30" si="4">SUM(F31:F39)</f>
        <v>0</v>
      </c>
      <c r="G30" s="485">
        <f t="shared" si="4"/>
        <v>0</v>
      </c>
      <c r="H30" s="485">
        <f t="shared" si="4"/>
        <v>0</v>
      </c>
      <c r="I30" s="485">
        <f t="shared" si="1"/>
        <v>0</v>
      </c>
      <c r="J30" s="305"/>
    </row>
    <row r="31" spans="1:10" x14ac:dyDescent="0.2">
      <c r="B31" s="696" t="s">
        <v>599</v>
      </c>
      <c r="C31" s="697"/>
      <c r="D31" s="491">
        <f>-SCFG!D27</f>
        <v>0</v>
      </c>
      <c r="E31" s="491">
        <f>-SCFG!F27</f>
        <v>0</v>
      </c>
      <c r="F31" s="506">
        <f t="shared" si="2"/>
        <v>0</v>
      </c>
      <c r="G31" s="507">
        <f>(SCFG!H27+SCFG!I27+SCFG!J27)</f>
        <v>0</v>
      </c>
      <c r="H31" s="507">
        <f>SCFG!J27</f>
        <v>0</v>
      </c>
      <c r="I31" s="486">
        <f t="shared" si="1"/>
        <v>0</v>
      </c>
    </row>
    <row r="32" spans="1:10" x14ac:dyDescent="0.2">
      <c r="B32" s="491" t="s">
        <v>663</v>
      </c>
      <c r="C32" s="492"/>
      <c r="D32" s="491">
        <f>-SCFG!D28</f>
        <v>0</v>
      </c>
      <c r="E32" s="491">
        <f>-SCFG!F28</f>
        <v>0</v>
      </c>
      <c r="F32" s="506">
        <f t="shared" si="2"/>
        <v>0</v>
      </c>
      <c r="G32" s="507">
        <f>(SCFG!H28+SCFG!I28+SCFG!J28)</f>
        <v>0</v>
      </c>
      <c r="H32" s="507">
        <f>SCFG!J28</f>
        <v>0</v>
      </c>
      <c r="I32" s="486">
        <f t="shared" si="1"/>
        <v>0</v>
      </c>
    </row>
    <row r="33" spans="1:10" x14ac:dyDescent="0.2">
      <c r="B33" s="491" t="s">
        <v>664</v>
      </c>
      <c r="C33" s="492"/>
      <c r="D33" s="491">
        <f>-SCFG!D29</f>
        <v>0</v>
      </c>
      <c r="E33" s="491">
        <f>-SCFG!F29</f>
        <v>0</v>
      </c>
      <c r="F33" s="506">
        <f t="shared" si="2"/>
        <v>0</v>
      </c>
      <c r="G33" s="507">
        <f>(SCFG!H29+SCFG!I29+SCFG!J29)</f>
        <v>0</v>
      </c>
      <c r="H33" s="507">
        <f>SCFG!J29</f>
        <v>0</v>
      </c>
      <c r="I33" s="486">
        <f t="shared" si="1"/>
        <v>0</v>
      </c>
    </row>
    <row r="34" spans="1:10" x14ac:dyDescent="0.2">
      <c r="B34" s="491" t="s">
        <v>665</v>
      </c>
      <c r="C34" s="492"/>
      <c r="D34" s="491">
        <f>-SCFG!D30</f>
        <v>0</v>
      </c>
      <c r="E34" s="491">
        <f>-SCFG!F30</f>
        <v>0</v>
      </c>
      <c r="F34" s="506">
        <f t="shared" si="2"/>
        <v>0</v>
      </c>
      <c r="G34" s="507">
        <f>(SCFG!H30+SCFG!I30+SCFG!J30)</f>
        <v>0</v>
      </c>
      <c r="H34" s="507">
        <f>SCFG!J30</f>
        <v>0</v>
      </c>
      <c r="I34" s="486">
        <f t="shared" si="1"/>
        <v>0</v>
      </c>
    </row>
    <row r="35" spans="1:10" x14ac:dyDescent="0.2">
      <c r="B35" s="491" t="s">
        <v>666</v>
      </c>
      <c r="C35" s="492"/>
      <c r="D35" s="491">
        <f>-SCFG!D31</f>
        <v>0</v>
      </c>
      <c r="E35" s="491">
        <f>-SCFG!F31</f>
        <v>0</v>
      </c>
      <c r="F35" s="506">
        <f t="shared" si="2"/>
        <v>0</v>
      </c>
      <c r="G35" s="507">
        <f>(SCFG!H31+SCFG!I31+SCFG!J31)</f>
        <v>0</v>
      </c>
      <c r="H35" s="507">
        <f>SCFG!J31</f>
        <v>0</v>
      </c>
      <c r="I35" s="486">
        <f t="shared" si="1"/>
        <v>0</v>
      </c>
    </row>
    <row r="36" spans="1:10" x14ac:dyDescent="0.2">
      <c r="B36" s="491" t="s">
        <v>667</v>
      </c>
      <c r="C36" s="492"/>
      <c r="D36" s="491">
        <f>-SCFG!D32</f>
        <v>0</v>
      </c>
      <c r="E36" s="491">
        <f>-SCFG!F32</f>
        <v>0</v>
      </c>
      <c r="F36" s="506">
        <f t="shared" si="2"/>
        <v>0</v>
      </c>
      <c r="G36" s="507">
        <f>(SCFG!H32+SCFG!I32+SCFG!J32)</f>
        <v>0</v>
      </c>
      <c r="H36" s="507">
        <f>SCFG!J32</f>
        <v>0</v>
      </c>
      <c r="I36" s="486">
        <f t="shared" si="1"/>
        <v>0</v>
      </c>
    </row>
    <row r="37" spans="1:10" x14ac:dyDescent="0.2">
      <c r="B37" s="491" t="s">
        <v>668</v>
      </c>
      <c r="C37" s="492"/>
      <c r="D37" s="491">
        <f>-SCFG!D33</f>
        <v>0</v>
      </c>
      <c r="E37" s="491">
        <f>-SCFG!F33</f>
        <v>0</v>
      </c>
      <c r="F37" s="506">
        <f t="shared" si="2"/>
        <v>0</v>
      </c>
      <c r="G37" s="507">
        <f>(SCFG!H33+SCFG!I33+SCFG!J33)</f>
        <v>0</v>
      </c>
      <c r="H37" s="507">
        <f>SCFG!J33</f>
        <v>0</v>
      </c>
      <c r="I37" s="486">
        <f t="shared" si="1"/>
        <v>0</v>
      </c>
    </row>
    <row r="38" spans="1:10" x14ac:dyDescent="0.2">
      <c r="B38" s="491" t="s">
        <v>669</v>
      </c>
      <c r="C38" s="492"/>
      <c r="D38" s="491">
        <f>-SCFG!D34</f>
        <v>0</v>
      </c>
      <c r="E38" s="491">
        <f>-SCFG!F34</f>
        <v>0</v>
      </c>
      <c r="F38" s="506">
        <f t="shared" si="2"/>
        <v>0</v>
      </c>
      <c r="G38" s="507">
        <f>(SCFG!H34+SCFG!I34+SCFG!J34)</f>
        <v>0</v>
      </c>
      <c r="H38" s="507">
        <f>SCFG!J34</f>
        <v>0</v>
      </c>
      <c r="I38" s="486">
        <f t="shared" si="1"/>
        <v>0</v>
      </c>
    </row>
    <row r="39" spans="1:10" x14ac:dyDescent="0.2">
      <c r="B39" s="491" t="s">
        <v>670</v>
      </c>
      <c r="C39" s="492"/>
      <c r="D39" s="491">
        <f>-SCFG!D35</f>
        <v>0</v>
      </c>
      <c r="E39" s="491">
        <f>-SCFG!F35</f>
        <v>0</v>
      </c>
      <c r="F39" s="506">
        <f t="shared" si="2"/>
        <v>0</v>
      </c>
      <c r="G39" s="507">
        <f>(SCFG!H35+SCFG!I35+SCFG!J35)</f>
        <v>0</v>
      </c>
      <c r="H39" s="507">
        <f>SCFG!J35</f>
        <v>0</v>
      </c>
      <c r="I39" s="486">
        <f t="shared" si="1"/>
        <v>0</v>
      </c>
    </row>
    <row r="40" spans="1:10" s="361" customFormat="1" x14ac:dyDescent="0.2">
      <c r="A40" s="305"/>
      <c r="B40" s="489" t="s">
        <v>771</v>
      </c>
      <c r="C40" s="490"/>
      <c r="D40" s="493">
        <f>+D41+D42+D43+D44</f>
        <v>0</v>
      </c>
      <c r="E40" s="493">
        <f>+E41+E42+E43+E44</f>
        <v>0</v>
      </c>
      <c r="F40" s="494">
        <f>+F41+F42+F43+F44</f>
        <v>0</v>
      </c>
      <c r="G40" s="495">
        <f>+G41+G42+G43+G44</f>
        <v>0</v>
      </c>
      <c r="H40" s="495">
        <f>+H41+H42+H43+H44</f>
        <v>0</v>
      </c>
      <c r="I40" s="496">
        <f t="shared" si="1"/>
        <v>0</v>
      </c>
      <c r="J40" s="305"/>
    </row>
    <row r="41" spans="1:10" x14ac:dyDescent="0.2">
      <c r="B41" s="700" t="s">
        <v>622</v>
      </c>
      <c r="C41" s="701"/>
      <c r="D41" s="491">
        <f>-SCFG!D36</f>
        <v>0</v>
      </c>
      <c r="E41" s="491">
        <f>-SCFG!F36</f>
        <v>0</v>
      </c>
      <c r="F41" s="506">
        <f t="shared" si="2"/>
        <v>0</v>
      </c>
      <c r="G41" s="507">
        <f>(SCFG!H36+SCFG!I36+SCFG!J36)</f>
        <v>0</v>
      </c>
      <c r="H41" s="507">
        <f>SCFG!J36</f>
        <v>0</v>
      </c>
      <c r="I41" s="486">
        <f t="shared" si="1"/>
        <v>0</v>
      </c>
    </row>
    <row r="42" spans="1:10" x14ac:dyDescent="0.2">
      <c r="B42" s="696" t="s">
        <v>671</v>
      </c>
      <c r="C42" s="697"/>
      <c r="D42" s="491">
        <f>-SCFG!D37</f>
        <v>0</v>
      </c>
      <c r="E42" s="491">
        <f>-SCFG!F37</f>
        <v>0</v>
      </c>
      <c r="F42" s="506">
        <f t="shared" si="2"/>
        <v>0</v>
      </c>
      <c r="G42" s="507">
        <f>(SCFG!H37+SCFG!I37+SCFG!J37)</f>
        <v>0</v>
      </c>
      <c r="H42" s="507">
        <f>SCFG!J37</f>
        <v>0</v>
      </c>
      <c r="I42" s="486">
        <f t="shared" si="1"/>
        <v>0</v>
      </c>
    </row>
    <row r="43" spans="1:10" x14ac:dyDescent="0.2">
      <c r="B43" s="491" t="s">
        <v>608</v>
      </c>
      <c r="C43" s="492"/>
      <c r="D43" s="491">
        <f>-SCFG!D38</f>
        <v>0</v>
      </c>
      <c r="E43" s="491">
        <f>-SCFG!F38</f>
        <v>0</v>
      </c>
      <c r="F43" s="506">
        <f t="shared" si="2"/>
        <v>0</v>
      </c>
      <c r="G43" s="507">
        <f>(SCFG!H38+SCFG!I38+SCFG!J38)</f>
        <v>0</v>
      </c>
      <c r="H43" s="507">
        <f>SCFG!J38</f>
        <v>0</v>
      </c>
      <c r="I43" s="486">
        <f t="shared" si="1"/>
        <v>0</v>
      </c>
    </row>
    <row r="44" spans="1:10" x14ac:dyDescent="0.2">
      <c r="B44" s="491" t="s">
        <v>609</v>
      </c>
      <c r="C44" s="492"/>
      <c r="D44" s="491">
        <f>-SCFG!D39</f>
        <v>0</v>
      </c>
      <c r="E44" s="491">
        <f>-SCFG!F39</f>
        <v>0</v>
      </c>
      <c r="F44" s="506">
        <f t="shared" si="2"/>
        <v>0</v>
      </c>
      <c r="G44" s="507">
        <f>(SCFG!H39+SCFG!I39+SCFG!J39)</f>
        <v>0</v>
      </c>
      <c r="H44" s="507">
        <f>SCFG!J39</f>
        <v>0</v>
      </c>
      <c r="I44" s="486">
        <f t="shared" si="1"/>
        <v>0</v>
      </c>
    </row>
    <row r="45" spans="1:10" x14ac:dyDescent="0.2">
      <c r="B45" s="489" t="s">
        <v>610</v>
      </c>
      <c r="C45" s="490"/>
      <c r="D45" s="489">
        <f>+D46+D55+D63+D73</f>
        <v>0</v>
      </c>
      <c r="E45" s="489">
        <f>+E46+E55+E63+E73</f>
        <v>0</v>
      </c>
      <c r="F45" s="497">
        <f>+F46+F55+F63+F73</f>
        <v>0</v>
      </c>
      <c r="G45" s="498">
        <f>+G46+G55+G63+G73</f>
        <v>0</v>
      </c>
      <c r="H45" s="498">
        <f>+H46+H55+H63+H73</f>
        <v>0</v>
      </c>
      <c r="I45" s="485">
        <f t="shared" ref="I45:I78" si="5">+F45-G45</f>
        <v>0</v>
      </c>
    </row>
    <row r="46" spans="1:10" s="361" customFormat="1" x14ac:dyDescent="0.2">
      <c r="A46" s="305"/>
      <c r="B46" s="489" t="s">
        <v>584</v>
      </c>
      <c r="C46" s="490"/>
      <c r="D46" s="489">
        <f>SUM(D47:D54)</f>
        <v>0</v>
      </c>
      <c r="E46" s="489">
        <f>SUM(E47:E54)</f>
        <v>0</v>
      </c>
      <c r="F46" s="497">
        <f>SUM(F47:F54)</f>
        <v>0</v>
      </c>
      <c r="G46" s="498">
        <f>SUM(G47:G54)</f>
        <v>0</v>
      </c>
      <c r="H46" s="498">
        <f>SUM(H47:H54)</f>
        <v>0</v>
      </c>
      <c r="I46" s="485">
        <f t="shared" si="5"/>
        <v>0</v>
      </c>
      <c r="J46" s="305"/>
    </row>
    <row r="47" spans="1:10" x14ac:dyDescent="0.2">
      <c r="B47" s="491" t="s">
        <v>611</v>
      </c>
      <c r="C47" s="492"/>
      <c r="D47" s="491">
        <f>-SCFG!D42</f>
        <v>0</v>
      </c>
      <c r="E47" s="491">
        <f>-SCFG!F42</f>
        <v>0</v>
      </c>
      <c r="F47" s="506">
        <f t="shared" ref="F47:F54" si="6">+D47+E47</f>
        <v>0</v>
      </c>
      <c r="G47" s="507">
        <f>(SCFG!H42+SCFG!I42+SCFG!J42)</f>
        <v>0</v>
      </c>
      <c r="H47" s="507">
        <f>SCFG!J42</f>
        <v>0</v>
      </c>
      <c r="I47" s="486">
        <f t="shared" si="5"/>
        <v>0</v>
      </c>
    </row>
    <row r="48" spans="1:10" x14ac:dyDescent="0.2">
      <c r="B48" s="491" t="s">
        <v>612</v>
      </c>
      <c r="C48" s="492"/>
      <c r="D48" s="491">
        <f>-SCFG!D43</f>
        <v>0</v>
      </c>
      <c r="E48" s="491">
        <f>-SCFG!F43</f>
        <v>0</v>
      </c>
      <c r="F48" s="506">
        <f t="shared" si="6"/>
        <v>0</v>
      </c>
      <c r="G48" s="507">
        <f>(SCFG!H43+SCFG!I43+SCFG!J43)</f>
        <v>0</v>
      </c>
      <c r="H48" s="507">
        <f>SCFG!J43</f>
        <v>0</v>
      </c>
      <c r="I48" s="486">
        <f t="shared" si="5"/>
        <v>0</v>
      </c>
    </row>
    <row r="49" spans="1:10" x14ac:dyDescent="0.2">
      <c r="B49" s="696" t="s">
        <v>613</v>
      </c>
      <c r="C49" s="697"/>
      <c r="D49" s="491">
        <f>-SCFG!D44</f>
        <v>0</v>
      </c>
      <c r="E49" s="491">
        <f>-SCFG!F44</f>
        <v>0</v>
      </c>
      <c r="F49" s="506">
        <f t="shared" si="6"/>
        <v>0</v>
      </c>
      <c r="G49" s="507">
        <f>(SCFG!H44+SCFG!I44+SCFG!J44)</f>
        <v>0</v>
      </c>
      <c r="H49" s="507">
        <f>SCFG!J44</f>
        <v>0</v>
      </c>
      <c r="I49" s="486">
        <f t="shared" si="5"/>
        <v>0</v>
      </c>
    </row>
    <row r="50" spans="1:10" x14ac:dyDescent="0.2">
      <c r="B50" s="491" t="s">
        <v>614</v>
      </c>
      <c r="C50" s="492"/>
      <c r="D50" s="491">
        <f>-SCFG!D45</f>
        <v>0</v>
      </c>
      <c r="E50" s="491">
        <f>-SCFG!F45</f>
        <v>0</v>
      </c>
      <c r="F50" s="506">
        <f t="shared" si="6"/>
        <v>0</v>
      </c>
      <c r="G50" s="507">
        <f>(SCFG!H45+SCFG!I45+SCFG!J45)</f>
        <v>0</v>
      </c>
      <c r="H50" s="507">
        <f>SCFG!J45</f>
        <v>0</v>
      </c>
      <c r="I50" s="486">
        <f t="shared" si="5"/>
        <v>0</v>
      </c>
    </row>
    <row r="51" spans="1:10" x14ac:dyDescent="0.2">
      <c r="B51" s="491" t="s">
        <v>615</v>
      </c>
      <c r="C51" s="492"/>
      <c r="D51" s="491">
        <f>-SCFG!D46</f>
        <v>0</v>
      </c>
      <c r="E51" s="491">
        <f>-SCFG!F46</f>
        <v>0</v>
      </c>
      <c r="F51" s="506">
        <f t="shared" si="6"/>
        <v>0</v>
      </c>
      <c r="G51" s="507">
        <f>(SCFG!H46+SCFG!I46+SCFG!J46)</f>
        <v>0</v>
      </c>
      <c r="H51" s="507">
        <f>SCFG!J46</f>
        <v>0</v>
      </c>
      <c r="I51" s="486">
        <f t="shared" si="5"/>
        <v>0</v>
      </c>
    </row>
    <row r="52" spans="1:10" x14ac:dyDescent="0.2">
      <c r="B52" s="487" t="s">
        <v>616</v>
      </c>
      <c r="C52" s="488"/>
      <c r="D52" s="491">
        <f>-SCFG!D47</f>
        <v>0</v>
      </c>
      <c r="E52" s="491">
        <f>-SCFG!F47</f>
        <v>0</v>
      </c>
      <c r="F52" s="506">
        <f t="shared" si="6"/>
        <v>0</v>
      </c>
      <c r="G52" s="507">
        <f>(SCFG!H47+SCFG!I47+SCFG!J47)</f>
        <v>0</v>
      </c>
      <c r="H52" s="507">
        <f>SCFG!J47</f>
        <v>0</v>
      </c>
      <c r="I52" s="486">
        <f t="shared" si="5"/>
        <v>0</v>
      </c>
    </row>
    <row r="53" spans="1:10" x14ac:dyDescent="0.2">
      <c r="B53" s="696" t="s">
        <v>617</v>
      </c>
      <c r="C53" s="697"/>
      <c r="D53" s="491">
        <f>-SCFG!D48</f>
        <v>0</v>
      </c>
      <c r="E53" s="491">
        <f>-SCFG!F48</f>
        <v>0</v>
      </c>
      <c r="F53" s="506">
        <f t="shared" si="6"/>
        <v>0</v>
      </c>
      <c r="G53" s="507">
        <f>(SCFG!H48+SCFG!I48+SCFG!J48)</f>
        <v>0</v>
      </c>
      <c r="H53" s="507">
        <f>SCFG!J48</f>
        <v>0</v>
      </c>
      <c r="I53" s="486">
        <f t="shared" si="5"/>
        <v>0</v>
      </c>
    </row>
    <row r="54" spans="1:10" x14ac:dyDescent="0.2">
      <c r="B54" s="487" t="s">
        <v>618</v>
      </c>
      <c r="C54" s="488"/>
      <c r="D54" s="491">
        <f>-SCFG!D49</f>
        <v>0</v>
      </c>
      <c r="E54" s="491">
        <f>-SCFG!F49</f>
        <v>0</v>
      </c>
      <c r="F54" s="506">
        <f t="shared" si="6"/>
        <v>0</v>
      </c>
      <c r="G54" s="507">
        <f>(SCFG!H49+SCFG!I49+SCFG!J49)</f>
        <v>0</v>
      </c>
      <c r="H54" s="507">
        <f>SCFG!J49</f>
        <v>0</v>
      </c>
      <c r="I54" s="486">
        <f t="shared" si="5"/>
        <v>0</v>
      </c>
    </row>
    <row r="55" spans="1:10" s="361" customFormat="1" x14ac:dyDescent="0.2">
      <c r="A55" s="305"/>
      <c r="B55" s="499" t="s">
        <v>592</v>
      </c>
      <c r="C55" s="500"/>
      <c r="D55" s="489">
        <f>SUM(D56:D62)</f>
        <v>0</v>
      </c>
      <c r="E55" s="489">
        <f>SUM(E56:E62)</f>
        <v>0</v>
      </c>
      <c r="F55" s="497">
        <f>SUM(F56:F62)</f>
        <v>0</v>
      </c>
      <c r="G55" s="498">
        <f>SUM(G56:G62)</f>
        <v>0</v>
      </c>
      <c r="H55" s="498">
        <f>SUM(H56:H62)</f>
        <v>0</v>
      </c>
      <c r="I55" s="485">
        <f t="shared" si="5"/>
        <v>0</v>
      </c>
      <c r="J55" s="305"/>
    </row>
    <row r="56" spans="1:10" x14ac:dyDescent="0.2">
      <c r="B56" s="491" t="s">
        <v>655</v>
      </c>
      <c r="C56" s="492"/>
      <c r="D56" s="491">
        <f>-SCFG!D50</f>
        <v>0</v>
      </c>
      <c r="E56" s="491">
        <f>-SCFG!F50</f>
        <v>0</v>
      </c>
      <c r="F56" s="506">
        <f t="shared" ref="F56:F62" si="7">+D56+E56</f>
        <v>0</v>
      </c>
      <c r="G56" s="507">
        <f>(SCFG!H50+SCFG!I50+SCFG!J50)</f>
        <v>0</v>
      </c>
      <c r="H56" s="507">
        <f>SCFG!J50</f>
        <v>0</v>
      </c>
      <c r="I56" s="486">
        <f t="shared" si="5"/>
        <v>0</v>
      </c>
    </row>
    <row r="57" spans="1:10" x14ac:dyDescent="0.2">
      <c r="B57" s="491" t="s">
        <v>656</v>
      </c>
      <c r="C57" s="492"/>
      <c r="D57" s="491">
        <f>-SCFG!D51</f>
        <v>0</v>
      </c>
      <c r="E57" s="491">
        <f>-SCFG!F51</f>
        <v>0</v>
      </c>
      <c r="F57" s="506">
        <f t="shared" si="7"/>
        <v>0</v>
      </c>
      <c r="G57" s="507">
        <f>(SCFG!H51+SCFG!I51+SCFG!J51)</f>
        <v>0</v>
      </c>
      <c r="H57" s="507">
        <f>SCFG!J51</f>
        <v>0</v>
      </c>
      <c r="I57" s="486">
        <f t="shared" si="5"/>
        <v>0</v>
      </c>
    </row>
    <row r="58" spans="1:10" x14ac:dyDescent="0.2">
      <c r="B58" s="491" t="s">
        <v>657</v>
      </c>
      <c r="C58" s="492"/>
      <c r="D58" s="491">
        <f>-SCFG!D52</f>
        <v>0</v>
      </c>
      <c r="E58" s="491">
        <f>-SCFG!F52</f>
        <v>0</v>
      </c>
      <c r="F58" s="506">
        <f t="shared" si="7"/>
        <v>0</v>
      </c>
      <c r="G58" s="507">
        <f>(SCFG!H52+SCFG!I52+SCFG!J52)</f>
        <v>0</v>
      </c>
      <c r="H58" s="507">
        <f>SCFG!J52</f>
        <v>0</v>
      </c>
      <c r="I58" s="486">
        <f t="shared" si="5"/>
        <v>0</v>
      </c>
    </row>
    <row r="59" spans="1:10" x14ac:dyDescent="0.2">
      <c r="B59" s="696" t="s">
        <v>658</v>
      </c>
      <c r="C59" s="697"/>
      <c r="D59" s="491">
        <f>-SCFG!D53</f>
        <v>0</v>
      </c>
      <c r="E59" s="491">
        <f>-SCFG!F53</f>
        <v>0</v>
      </c>
      <c r="F59" s="506">
        <f t="shared" si="7"/>
        <v>0</v>
      </c>
      <c r="G59" s="507">
        <f>(SCFG!H53+SCFG!I53+SCFG!J53)</f>
        <v>0</v>
      </c>
      <c r="H59" s="507">
        <f>SCFG!J53</f>
        <v>0</v>
      </c>
      <c r="I59" s="486">
        <f t="shared" si="5"/>
        <v>0</v>
      </c>
    </row>
    <row r="60" spans="1:10" x14ac:dyDescent="0.2">
      <c r="B60" s="487" t="s">
        <v>659</v>
      </c>
      <c r="C60" s="488"/>
      <c r="D60" s="491">
        <f>-SCFG!D54</f>
        <v>0</v>
      </c>
      <c r="E60" s="491">
        <f>-SCFG!F54</f>
        <v>0</v>
      </c>
      <c r="F60" s="506">
        <f t="shared" si="7"/>
        <v>0</v>
      </c>
      <c r="G60" s="507">
        <f>(SCFG!H54+SCFG!I54+SCFG!J54)</f>
        <v>0</v>
      </c>
      <c r="H60" s="507">
        <f>SCFG!J54</f>
        <v>0</v>
      </c>
      <c r="I60" s="486">
        <f t="shared" si="5"/>
        <v>0</v>
      </c>
    </row>
    <row r="61" spans="1:10" x14ac:dyDescent="0.2">
      <c r="B61" s="487" t="s">
        <v>660</v>
      </c>
      <c r="C61" s="488"/>
      <c r="D61" s="491">
        <f>-SCFG!D55</f>
        <v>0</v>
      </c>
      <c r="E61" s="491">
        <f>-SCFG!F55</f>
        <v>0</v>
      </c>
      <c r="F61" s="506">
        <f t="shared" si="7"/>
        <v>0</v>
      </c>
      <c r="G61" s="507">
        <f>(SCFG!H55+SCFG!I55+SCFG!J55)</f>
        <v>0</v>
      </c>
      <c r="H61" s="507">
        <f>SCFG!J55</f>
        <v>0</v>
      </c>
      <c r="I61" s="486">
        <f t="shared" si="5"/>
        <v>0</v>
      </c>
    </row>
    <row r="62" spans="1:10" x14ac:dyDescent="0.2">
      <c r="B62" s="491" t="s">
        <v>619</v>
      </c>
      <c r="C62" s="492"/>
      <c r="D62" s="491">
        <f>-SCFG!D56</f>
        <v>0</v>
      </c>
      <c r="E62" s="491">
        <f>-SCFG!F56</f>
        <v>0</v>
      </c>
      <c r="F62" s="506">
        <f t="shared" si="7"/>
        <v>0</v>
      </c>
      <c r="G62" s="507">
        <f>(SCFG!H56+SCFG!I56+SCFG!J56)</f>
        <v>0</v>
      </c>
      <c r="H62" s="507">
        <f>SCFG!J56</f>
        <v>0</v>
      </c>
      <c r="I62" s="486">
        <f t="shared" si="5"/>
        <v>0</v>
      </c>
    </row>
    <row r="63" spans="1:10" s="361" customFormat="1" x14ac:dyDescent="0.2">
      <c r="A63" s="305"/>
      <c r="B63" s="698" t="s">
        <v>620</v>
      </c>
      <c r="C63" s="699"/>
      <c r="D63" s="489">
        <f>SUM(D64:D72)</f>
        <v>0</v>
      </c>
      <c r="E63" s="489">
        <f>SUM(E64:E72)</f>
        <v>0</v>
      </c>
      <c r="F63" s="497">
        <f>SUM(F64:F72)</f>
        <v>0</v>
      </c>
      <c r="G63" s="498">
        <f>SUM(G64:G72)</f>
        <v>0</v>
      </c>
      <c r="H63" s="498">
        <f>SUM(H64:H72)</f>
        <v>0</v>
      </c>
      <c r="I63" s="485">
        <f t="shared" si="5"/>
        <v>0</v>
      </c>
      <c r="J63" s="305"/>
    </row>
    <row r="64" spans="1:10" x14ac:dyDescent="0.2">
      <c r="B64" s="491" t="s">
        <v>621</v>
      </c>
      <c r="C64" s="492"/>
      <c r="D64" s="491">
        <f>-SCFG!D57</f>
        <v>0</v>
      </c>
      <c r="E64" s="491">
        <f>-SCFG!F57</f>
        <v>0</v>
      </c>
      <c r="F64" s="506">
        <f t="shared" ref="F64:F72" si="8">+D64+E64</f>
        <v>0</v>
      </c>
      <c r="G64" s="507">
        <f>(SCFG!H57+SCFG!I57+SCFG!J57)</f>
        <v>0</v>
      </c>
      <c r="H64" s="507">
        <f>SCFG!J57</f>
        <v>0</v>
      </c>
      <c r="I64" s="486">
        <f t="shared" si="5"/>
        <v>0</v>
      </c>
    </row>
    <row r="65" spans="1:10" x14ac:dyDescent="0.2">
      <c r="B65" s="491" t="s">
        <v>600</v>
      </c>
      <c r="C65" s="492"/>
      <c r="D65" s="491">
        <f>-SCFG!D58</f>
        <v>0</v>
      </c>
      <c r="E65" s="491">
        <f>-SCFG!F58</f>
        <v>0</v>
      </c>
      <c r="F65" s="506">
        <f t="shared" si="8"/>
        <v>0</v>
      </c>
      <c r="G65" s="507">
        <f>(SCFG!H58+SCFG!I58+SCFG!J58)</f>
        <v>0</v>
      </c>
      <c r="H65" s="507">
        <f>SCFG!J58</f>
        <v>0</v>
      </c>
      <c r="I65" s="486">
        <f t="shared" si="5"/>
        <v>0</v>
      </c>
    </row>
    <row r="66" spans="1:10" x14ac:dyDescent="0.2">
      <c r="B66" s="491" t="s">
        <v>601</v>
      </c>
      <c r="C66" s="492"/>
      <c r="D66" s="491">
        <f>-SCFG!D59</f>
        <v>0</v>
      </c>
      <c r="E66" s="491">
        <f>-SCFG!F59</f>
        <v>0</v>
      </c>
      <c r="F66" s="506">
        <f t="shared" si="8"/>
        <v>0</v>
      </c>
      <c r="G66" s="507">
        <f>(SCFG!H59+SCFG!I59+SCFG!J59)</f>
        <v>0</v>
      </c>
      <c r="H66" s="507">
        <f>SCFG!J59</f>
        <v>0</v>
      </c>
      <c r="I66" s="486">
        <f t="shared" si="5"/>
        <v>0</v>
      </c>
    </row>
    <row r="67" spans="1:10" x14ac:dyDescent="0.2">
      <c r="B67" s="491" t="s">
        <v>602</v>
      </c>
      <c r="C67" s="492"/>
      <c r="D67" s="491">
        <f>-SCFG!D60</f>
        <v>0</v>
      </c>
      <c r="E67" s="491">
        <f>-SCFG!F60</f>
        <v>0</v>
      </c>
      <c r="F67" s="506">
        <f t="shared" si="8"/>
        <v>0</v>
      </c>
      <c r="G67" s="507">
        <f>(SCFG!H60+SCFG!I60+SCFG!J60)</f>
        <v>0</v>
      </c>
      <c r="H67" s="507">
        <f>SCFG!J60</f>
        <v>0</v>
      </c>
      <c r="I67" s="486">
        <f t="shared" si="5"/>
        <v>0</v>
      </c>
    </row>
    <row r="68" spans="1:10" x14ac:dyDescent="0.2">
      <c r="B68" s="491" t="s">
        <v>603</v>
      </c>
      <c r="C68" s="492"/>
      <c r="D68" s="491">
        <f>-SCFG!D61</f>
        <v>0</v>
      </c>
      <c r="E68" s="491">
        <f>-SCFG!F61</f>
        <v>0</v>
      </c>
      <c r="F68" s="506">
        <f t="shared" si="8"/>
        <v>0</v>
      </c>
      <c r="G68" s="507">
        <f>(SCFG!H61+SCFG!I61+SCFG!J61)</f>
        <v>0</v>
      </c>
      <c r="H68" s="507">
        <f>SCFG!J61</f>
        <v>0</v>
      </c>
      <c r="I68" s="486">
        <f t="shared" si="5"/>
        <v>0</v>
      </c>
    </row>
    <row r="69" spans="1:10" x14ac:dyDescent="0.2">
      <c r="B69" s="487" t="s">
        <v>604</v>
      </c>
      <c r="C69" s="488"/>
      <c r="D69" s="491">
        <f>-SCFG!D62</f>
        <v>0</v>
      </c>
      <c r="E69" s="491">
        <f>-SCFG!F62</f>
        <v>0</v>
      </c>
      <c r="F69" s="506">
        <f t="shared" si="8"/>
        <v>0</v>
      </c>
      <c r="G69" s="507">
        <f>(SCFG!H62+SCFG!I62+SCFG!J62)</f>
        <v>0</v>
      </c>
      <c r="H69" s="507">
        <f>SCFG!J62</f>
        <v>0</v>
      </c>
      <c r="I69" s="486">
        <f t="shared" si="5"/>
        <v>0</v>
      </c>
    </row>
    <row r="70" spans="1:10" x14ac:dyDescent="0.2">
      <c r="B70" s="487" t="s">
        <v>605</v>
      </c>
      <c r="C70" s="488"/>
      <c r="D70" s="491">
        <f>-SCFG!D63</f>
        <v>0</v>
      </c>
      <c r="E70" s="491">
        <f>-SCFG!F63</f>
        <v>0</v>
      </c>
      <c r="F70" s="506">
        <f t="shared" si="8"/>
        <v>0</v>
      </c>
      <c r="G70" s="507">
        <f>(SCFG!H63+SCFG!I63+SCFG!J63)</f>
        <v>0</v>
      </c>
      <c r="H70" s="507">
        <f>SCFG!J63</f>
        <v>0</v>
      </c>
      <c r="I70" s="486">
        <f t="shared" si="5"/>
        <v>0</v>
      </c>
    </row>
    <row r="71" spans="1:10" ht="12" customHeight="1" x14ac:dyDescent="0.2">
      <c r="B71" s="487" t="s">
        <v>606</v>
      </c>
      <c r="C71" s="488"/>
      <c r="D71" s="491">
        <f>-SCFG!D64</f>
        <v>0</v>
      </c>
      <c r="E71" s="491">
        <f>-SCFG!F64</f>
        <v>0</v>
      </c>
      <c r="F71" s="506">
        <f t="shared" si="8"/>
        <v>0</v>
      </c>
      <c r="G71" s="507">
        <f>(SCFG!H64+SCFG!I64+SCFG!J64)</f>
        <v>0</v>
      </c>
      <c r="H71" s="507">
        <f>SCFG!J64</f>
        <v>0</v>
      </c>
      <c r="I71" s="486">
        <f t="shared" si="5"/>
        <v>0</v>
      </c>
    </row>
    <row r="72" spans="1:10" x14ac:dyDescent="0.2">
      <c r="B72" s="491" t="s">
        <v>607</v>
      </c>
      <c r="C72" s="492"/>
      <c r="D72" s="491">
        <f>-SCFG!D65</f>
        <v>0</v>
      </c>
      <c r="E72" s="491">
        <f>-SCFG!F65</f>
        <v>0</v>
      </c>
      <c r="F72" s="506">
        <f t="shared" si="8"/>
        <v>0</v>
      </c>
      <c r="G72" s="507">
        <f>(SCFG!H65+SCFG!I65+SCFG!J65)</f>
        <v>0</v>
      </c>
      <c r="H72" s="507">
        <f>SCFG!J65</f>
        <v>0</v>
      </c>
      <c r="I72" s="486">
        <f t="shared" si="5"/>
        <v>0</v>
      </c>
    </row>
    <row r="73" spans="1:10" s="361" customFormat="1" x14ac:dyDescent="0.2">
      <c r="A73" s="305"/>
      <c r="B73" s="489" t="s">
        <v>654</v>
      </c>
      <c r="C73" s="490"/>
      <c r="D73" s="493">
        <f>SUM(D74:D77)</f>
        <v>0</v>
      </c>
      <c r="E73" s="493">
        <f>SUM(E74:E77)</f>
        <v>0</v>
      </c>
      <c r="F73" s="494">
        <f>SUM(F74:F77)</f>
        <v>0</v>
      </c>
      <c r="G73" s="495">
        <f>SUM(G74:G77)</f>
        <v>0</v>
      </c>
      <c r="H73" s="495">
        <f>SUM(H74:H77)</f>
        <v>0</v>
      </c>
      <c r="I73" s="485">
        <f t="shared" si="5"/>
        <v>0</v>
      </c>
      <c r="J73" s="305"/>
    </row>
    <row r="74" spans="1:10" x14ac:dyDescent="0.2">
      <c r="B74" s="491" t="s">
        <v>622</v>
      </c>
      <c r="C74" s="492"/>
      <c r="D74" s="491">
        <f>-SCFG!D66</f>
        <v>0</v>
      </c>
      <c r="E74" s="491">
        <f>-SCFG!F66</f>
        <v>0</v>
      </c>
      <c r="F74" s="506">
        <f t="shared" ref="F74:F77" si="9">+D74+E74</f>
        <v>0</v>
      </c>
      <c r="G74" s="507">
        <f>(SCFG!H66+SCFG!I66+SCFG!J66)</f>
        <v>0</v>
      </c>
      <c r="H74" s="507">
        <f>SCFG!J66</f>
        <v>0</v>
      </c>
      <c r="I74" s="486">
        <f t="shared" si="5"/>
        <v>0</v>
      </c>
    </row>
    <row r="75" spans="1:10" x14ac:dyDescent="0.2">
      <c r="B75" s="491" t="s">
        <v>671</v>
      </c>
      <c r="C75" s="492"/>
      <c r="D75" s="491">
        <f>-SCFG!D67</f>
        <v>0</v>
      </c>
      <c r="E75" s="491">
        <f>-SCFG!F67</f>
        <v>0</v>
      </c>
      <c r="F75" s="506">
        <f t="shared" si="9"/>
        <v>0</v>
      </c>
      <c r="G75" s="507">
        <f>(SCFG!H67+SCFG!I67+SCFG!J67)</f>
        <v>0</v>
      </c>
      <c r="H75" s="507">
        <f>SCFG!J67</f>
        <v>0</v>
      </c>
      <c r="I75" s="486">
        <f t="shared" si="5"/>
        <v>0</v>
      </c>
    </row>
    <row r="76" spans="1:10" x14ac:dyDescent="0.2">
      <c r="B76" s="491" t="s">
        <v>608</v>
      </c>
      <c r="C76" s="492"/>
      <c r="D76" s="491">
        <f>-SCFG!D68</f>
        <v>0</v>
      </c>
      <c r="E76" s="491">
        <f>-SCFG!F68</f>
        <v>0</v>
      </c>
      <c r="F76" s="506">
        <f t="shared" si="9"/>
        <v>0</v>
      </c>
      <c r="G76" s="507">
        <f>(SCFG!H68+SCFG!I68+SCFG!J68)</f>
        <v>0</v>
      </c>
      <c r="H76" s="507">
        <f>SCFG!J68</f>
        <v>0</v>
      </c>
      <c r="I76" s="486">
        <f t="shared" si="5"/>
        <v>0</v>
      </c>
    </row>
    <row r="77" spans="1:10" x14ac:dyDescent="0.2">
      <c r="B77" s="491" t="s">
        <v>609</v>
      </c>
      <c r="C77" s="492"/>
      <c r="D77" s="491">
        <f>-SCFG!D69</f>
        <v>0</v>
      </c>
      <c r="E77" s="491">
        <f>-SCFG!F69</f>
        <v>0</v>
      </c>
      <c r="F77" s="506">
        <f t="shared" si="9"/>
        <v>0</v>
      </c>
      <c r="G77" s="507">
        <f>(SCFG!H69+SCFG!I69+SCFG!J69)</f>
        <v>0</v>
      </c>
      <c r="H77" s="507">
        <f>SCFG!J69</f>
        <v>0</v>
      </c>
      <c r="I77" s="486">
        <f t="shared" si="5"/>
        <v>0</v>
      </c>
    </row>
    <row r="78" spans="1:10" x14ac:dyDescent="0.2">
      <c r="B78" s="489" t="s">
        <v>569</v>
      </c>
      <c r="C78" s="490"/>
      <c r="D78" s="489">
        <f>+D12+D45</f>
        <v>130204948.29000001</v>
      </c>
      <c r="E78" s="489">
        <f>+E12+E45</f>
        <v>8790009.3699999992</v>
      </c>
      <c r="F78" s="497">
        <f>+F12+F45</f>
        <v>138994957.66</v>
      </c>
      <c r="G78" s="498">
        <f>+G12+G45</f>
        <v>26471793.890000001</v>
      </c>
      <c r="H78" s="498">
        <f>+H12+H45</f>
        <v>26471793.890000001</v>
      </c>
      <c r="I78" s="485">
        <f t="shared" si="5"/>
        <v>112523163.77</v>
      </c>
    </row>
    <row r="79" spans="1:10" s="207" customFormat="1" x14ac:dyDescent="0.2">
      <c r="A79" s="200"/>
      <c r="B79" s="501"/>
      <c r="C79" s="502"/>
      <c r="D79" s="503"/>
      <c r="E79" s="503"/>
      <c r="F79" s="504"/>
      <c r="G79" s="505"/>
      <c r="H79" s="505"/>
      <c r="I79" s="505"/>
      <c r="J79" s="200"/>
    </row>
    <row r="80" spans="1:10" ht="12" customHeight="1" x14ac:dyDescent="0.2">
      <c r="B80" s="613" t="s">
        <v>149</v>
      </c>
      <c r="C80" s="613"/>
      <c r="D80" s="613"/>
      <c r="E80" s="613"/>
      <c r="F80" s="613"/>
      <c r="G80" s="613"/>
      <c r="H80" s="613"/>
      <c r="I80" s="492"/>
      <c r="J80" s="201"/>
    </row>
    <row r="81" spans="1:9" s="201" customFormat="1" x14ac:dyDescent="0.2">
      <c r="B81" s="613"/>
      <c r="C81" s="613"/>
      <c r="D81" s="613"/>
      <c r="E81" s="613"/>
      <c r="F81" s="613"/>
      <c r="G81" s="613"/>
      <c r="H81" s="613"/>
      <c r="I81" s="492"/>
    </row>
    <row r="82" spans="1:9" s="201" customFormat="1" x14ac:dyDescent="0.2">
      <c r="B82" s="613"/>
      <c r="C82" s="613"/>
      <c r="D82" s="613"/>
      <c r="E82" s="613"/>
      <c r="F82" s="613"/>
      <c r="G82" s="613"/>
      <c r="H82" s="613"/>
      <c r="I82" s="492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197"/>
      <c r="C84" s="197"/>
      <c r="D84" s="197"/>
      <c r="E84" s="197"/>
      <c r="F84" s="197"/>
      <c r="G84" s="197"/>
      <c r="H84" s="197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 x14ac:dyDescent="0.2">
      <c r="A88" s="235"/>
      <c r="B88" s="295"/>
      <c r="C88" s="295" t="str">
        <f>+ENTE!D10</f>
        <v xml:space="preserve">M. EN A.  GONZALO FERREIRA MARTÍNEZ </v>
      </c>
      <c r="D88" s="295"/>
      <c r="E88" s="295"/>
      <c r="F88" s="636" t="str">
        <f>+ENTE!D14</f>
        <v>C.P.  ELDA GRACIELA FLORES HERNÁNDEZ</v>
      </c>
      <c r="G88" s="636"/>
      <c r="H88" s="636"/>
      <c r="I88" s="203"/>
    </row>
    <row r="89" spans="1:9" s="201" customFormat="1" x14ac:dyDescent="0.2">
      <c r="A89" s="235"/>
      <c r="B89" s="295"/>
      <c r="C89" s="295" t="str">
        <f>+ENTE!D12</f>
        <v>DIRECTOR DE ADMINISTRACIÓN  Y FINANZAS</v>
      </c>
      <c r="D89" s="295"/>
      <c r="E89" s="295"/>
      <c r="F89" s="621" t="str">
        <f>+ENTE!D16</f>
        <v>JEFA DEL DEPARTAMENTO DE ADMINISTRACIÓN FINANCIERA</v>
      </c>
      <c r="G89" s="621"/>
      <c r="H89" s="621"/>
      <c r="I89" s="203"/>
    </row>
    <row r="90" spans="1:9" s="201" customFormat="1" x14ac:dyDescent="0.2"/>
  </sheetData>
  <sheetProtection algorithmName="SHA-512" hashValue="xtRJXpOkIi0xXlAm/sb5s+pDY6A8qtumPYf8+faCLGJiNZ5r726emuHGBzg5gDuxoxXuN9er5hcW+ls1ERTGaA==" saltValue="BpqGU1G6rSQm1WXBAQ1xkw==" spinCount="100000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3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topLeftCell="D7" zoomScaleNormal="100" zoomScaleSheetLayoutView="100" workbookViewId="0">
      <selection activeCell="J11" sqref="J11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02" t="s">
        <v>379</v>
      </c>
      <c r="D2" s="602"/>
      <c r="E2" s="602"/>
      <c r="F2" s="602"/>
      <c r="G2" s="602"/>
      <c r="H2" s="602"/>
      <c r="I2" s="602"/>
      <c r="J2" s="281"/>
    </row>
    <row r="3" spans="2:10" s="2" customFormat="1" x14ac:dyDescent="0.2">
      <c r="C3" s="603" t="s">
        <v>368</v>
      </c>
      <c r="D3" s="603"/>
      <c r="E3" s="603"/>
      <c r="F3" s="603"/>
      <c r="G3" s="603"/>
      <c r="H3" s="603"/>
      <c r="I3" s="603"/>
    </row>
    <row r="4" spans="2:10" s="2" customFormat="1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0" s="2" customFormat="1" x14ac:dyDescent="0.2">
      <c r="C5" s="702" t="s">
        <v>92</v>
      </c>
      <c r="D5" s="702"/>
      <c r="E5" s="702"/>
      <c r="F5" s="702"/>
      <c r="G5" s="702"/>
      <c r="H5" s="702"/>
      <c r="I5" s="702"/>
    </row>
    <row r="6" spans="2:10" s="2" customFormat="1" x14ac:dyDescent="0.2">
      <c r="B6" s="4" t="s">
        <v>4</v>
      </c>
      <c r="C6" s="604" t="str">
        <f>ENTE!D8</f>
        <v xml:space="preserve">UNIVERSIDAD TECNOLÓGICA DE SAN JUAN DEL RÍO </v>
      </c>
      <c r="D6" s="604"/>
      <c r="E6" s="604"/>
      <c r="F6" s="604"/>
      <c r="G6" s="604"/>
      <c r="H6" s="604"/>
      <c r="I6" s="604"/>
      <c r="J6" s="604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01" t="s">
        <v>379</v>
      </c>
      <c r="C8" s="601"/>
      <c r="D8" s="601">
        <v>2017</v>
      </c>
      <c r="E8" s="601"/>
      <c r="F8" s="601"/>
      <c r="G8" s="601"/>
      <c r="H8" s="601"/>
      <c r="I8" s="601"/>
      <c r="J8" s="601"/>
    </row>
    <row r="9" spans="2:10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x14ac:dyDescent="0.2">
      <c r="B10" s="193" t="s">
        <v>38</v>
      </c>
      <c r="C10" s="194" t="s">
        <v>39</v>
      </c>
      <c r="D10" s="188">
        <v>-130204948.29000001</v>
      </c>
      <c r="E10" s="188">
        <v>112523163.77</v>
      </c>
      <c r="F10" s="188">
        <v>-8790009.3699999992</v>
      </c>
      <c r="G10" s="188"/>
      <c r="H10" s="188"/>
      <c r="I10" s="188"/>
      <c r="J10" s="190">
        <v>26471793.890000001</v>
      </c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/>
      <c r="E12" s="188"/>
      <c r="F12" s="188"/>
      <c r="G12" s="188"/>
      <c r="H12" s="188"/>
      <c r="I12" s="188"/>
      <c r="J12" s="190"/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-130204948.29000001</v>
      </c>
      <c r="E33" s="10">
        <f t="shared" ref="E33:J33" si="0">SUM(E10:E32)</f>
        <v>112523163.77</v>
      </c>
      <c r="F33" s="10">
        <f t="shared" si="0"/>
        <v>-8790009.3699999992</v>
      </c>
      <c r="G33" s="10">
        <f t="shared" si="0"/>
        <v>0</v>
      </c>
      <c r="H33" s="10">
        <f t="shared" si="0"/>
        <v>0</v>
      </c>
      <c r="I33" s="10">
        <f t="shared" si="0"/>
        <v>0</v>
      </c>
      <c r="J33" s="10">
        <f t="shared" si="0"/>
        <v>26471793.890000001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algorithmName="SHA-512" hashValue="98NyE8lKAsvjQ6yHVIN4I600pUwJ7P+6Bvo/Rd3P6jrD2cToDleO9oMbQ207pJnf6OqjqUBlXg1WDZaX8f9R/Q==" saltValue="XyNhT+kuEHWQHINlp2TN2Q==" spinCount="100000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7"/>
  <sheetViews>
    <sheetView showGridLines="0" view="pageBreakPreview" topLeftCell="E27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</row>
    <row r="3" spans="1:11" ht="12" customHeight="1" x14ac:dyDescent="0.2">
      <c r="B3" s="617" t="s">
        <v>310</v>
      </c>
      <c r="C3" s="617"/>
      <c r="D3" s="617"/>
      <c r="E3" s="617"/>
      <c r="F3" s="617"/>
      <c r="G3" s="617"/>
      <c r="H3" s="617"/>
      <c r="I3" s="617"/>
      <c r="J3" s="617"/>
    </row>
    <row r="4" spans="1:11" ht="12" customHeight="1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  <c r="J4" s="617"/>
    </row>
    <row r="5" spans="1:11" ht="12" customHeight="1" x14ac:dyDescent="0.2">
      <c r="B5" s="617" t="s">
        <v>92</v>
      </c>
      <c r="C5" s="617"/>
      <c r="D5" s="617"/>
      <c r="E5" s="617"/>
      <c r="F5" s="617"/>
      <c r="G5" s="617"/>
      <c r="H5" s="617"/>
      <c r="I5" s="617"/>
      <c r="J5" s="617"/>
    </row>
    <row r="6" spans="1:11" ht="12" customHeight="1" x14ac:dyDescent="0.2"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2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  <c r="J7" s="604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650" t="s">
        <v>93</v>
      </c>
      <c r="C9" s="708"/>
      <c r="D9" s="651"/>
      <c r="E9" s="656" t="s">
        <v>494</v>
      </c>
      <c r="F9" s="656"/>
      <c r="G9" s="656"/>
      <c r="H9" s="656"/>
      <c r="I9" s="656"/>
      <c r="J9" s="656" t="s">
        <v>645</v>
      </c>
    </row>
    <row r="10" spans="1:11" ht="12" customHeight="1" x14ac:dyDescent="0.2">
      <c r="B10" s="652"/>
      <c r="C10" s="709"/>
      <c r="D10" s="653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656"/>
    </row>
    <row r="11" spans="1:11" ht="12" customHeight="1" x14ac:dyDescent="0.2">
      <c r="B11" s="654"/>
      <c r="C11" s="710"/>
      <c r="D11" s="655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 x14ac:dyDescent="0.2">
      <c r="A12" s="124"/>
      <c r="B12" s="703" t="s">
        <v>311</v>
      </c>
      <c r="C12" s="704"/>
      <c r="D12" s="705"/>
      <c r="E12" s="508"/>
      <c r="F12" s="509"/>
      <c r="G12" s="509"/>
      <c r="H12" s="509"/>
      <c r="I12" s="509"/>
      <c r="J12" s="509"/>
      <c r="K12" s="124"/>
    </row>
    <row r="13" spans="1:11" s="1" customFormat="1" x14ac:dyDescent="0.2">
      <c r="A13" s="124"/>
      <c r="B13" s="140"/>
      <c r="C13" s="711" t="s">
        <v>312</v>
      </c>
      <c r="D13" s="712"/>
      <c r="E13" s="360">
        <f>+E14+E15</f>
        <v>130204948.29000001</v>
      </c>
      <c r="F13" s="360">
        <f>+F14+F15</f>
        <v>8790009.3699999992</v>
      </c>
      <c r="G13" s="360">
        <f>+E13+F13</f>
        <v>138994957.66</v>
      </c>
      <c r="H13" s="360">
        <f>+H14+H15</f>
        <v>26471793.890000001</v>
      </c>
      <c r="I13" s="360">
        <f>+I14+I15</f>
        <v>26471793.890000001</v>
      </c>
      <c r="J13" s="360">
        <f>+G13-H13</f>
        <v>112523163.77</v>
      </c>
      <c r="K13" s="124"/>
    </row>
    <row r="14" spans="1:11" x14ac:dyDescent="0.2">
      <c r="B14" s="128"/>
      <c r="C14" s="163"/>
      <c r="D14" s="345" t="s">
        <v>39</v>
      </c>
      <c r="E14" s="105">
        <f>-SCP!D10</f>
        <v>130204948.29000001</v>
      </c>
      <c r="F14" s="105">
        <f>-SCP!F10</f>
        <v>8790009.3699999992</v>
      </c>
      <c r="G14" s="105">
        <f>+E14+F14</f>
        <v>138994957.66</v>
      </c>
      <c r="H14" s="105">
        <f>SCP!H10+SCP!I10+SCP!J10</f>
        <v>26471793.890000001</v>
      </c>
      <c r="I14" s="105">
        <f>SCP!J10</f>
        <v>26471793.890000001</v>
      </c>
      <c r="J14" s="105">
        <f t="shared" ref="J14:J41" si="0">+G14-H14</f>
        <v>112523163.77</v>
      </c>
    </row>
    <row r="15" spans="1:11" x14ac:dyDescent="0.2">
      <c r="B15" s="128"/>
      <c r="C15" s="163"/>
      <c r="D15" s="345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11" t="s">
        <v>313</v>
      </c>
      <c r="D16" s="712"/>
      <c r="E16" s="360">
        <f>SUM(E17:E24)</f>
        <v>0</v>
      </c>
      <c r="F16" s="360">
        <f>SUM(F17:F24)</f>
        <v>0</v>
      </c>
      <c r="G16" s="360">
        <f>+E16+F16</f>
        <v>0</v>
      </c>
      <c r="H16" s="360">
        <f>SUM(H17:H24)</f>
        <v>0</v>
      </c>
      <c r="I16" s="360">
        <f>SUM(I17:I24)</f>
        <v>0</v>
      </c>
      <c r="J16" s="360">
        <f t="shared" si="0"/>
        <v>0</v>
      </c>
      <c r="K16" s="124"/>
    </row>
    <row r="17" spans="1:11" x14ac:dyDescent="0.2">
      <c r="B17" s="128"/>
      <c r="C17" s="163"/>
      <c r="D17" s="345" t="s">
        <v>43</v>
      </c>
      <c r="E17" s="105">
        <f>-SCP!D12</f>
        <v>0</v>
      </c>
      <c r="F17" s="105">
        <f>-SCP!F12</f>
        <v>0</v>
      </c>
      <c r="G17" s="105">
        <f>+E17+F17</f>
        <v>0</v>
      </c>
      <c r="H17" s="105">
        <f>SCP!H12+SCP!I12+SCP!J12</f>
        <v>0</v>
      </c>
      <c r="I17" s="105">
        <f>SCP!J12</f>
        <v>0</v>
      </c>
      <c r="J17" s="105">
        <f t="shared" si="0"/>
        <v>0</v>
      </c>
    </row>
    <row r="18" spans="1:11" x14ac:dyDescent="0.2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11" t="s">
        <v>314</v>
      </c>
      <c r="D25" s="712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1:11" x14ac:dyDescent="0.2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11" t="s">
        <v>315</v>
      </c>
      <c r="D29" s="712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1:11" x14ac:dyDescent="0.2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11" t="s">
        <v>316</v>
      </c>
      <c r="D32" s="712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1:11" x14ac:dyDescent="0.2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11" t="s">
        <v>317</v>
      </c>
      <c r="D37" s="712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1:11" x14ac:dyDescent="0.2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03" t="s">
        <v>79</v>
      </c>
      <c r="C39" s="704"/>
      <c r="D39" s="705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 x14ac:dyDescent="0.2">
      <c r="A40" s="124"/>
      <c r="B40" s="703" t="s">
        <v>81</v>
      </c>
      <c r="C40" s="704"/>
      <c r="D40" s="705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 x14ac:dyDescent="0.2">
      <c r="A41" s="124"/>
      <c r="B41" s="703" t="s">
        <v>83</v>
      </c>
      <c r="C41" s="704"/>
      <c r="D41" s="705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1:11" x14ac:dyDescent="0.2">
      <c r="B42" s="164"/>
      <c r="C42" s="165"/>
      <c r="D42" s="166"/>
      <c r="E42" s="510"/>
      <c r="F42" s="511"/>
      <c r="G42" s="511"/>
      <c r="H42" s="511"/>
      <c r="I42" s="511"/>
      <c r="J42" s="511"/>
    </row>
    <row r="43" spans="1:11" s="1" customFormat="1" x14ac:dyDescent="0.2">
      <c r="A43" s="124"/>
      <c r="B43" s="147"/>
      <c r="C43" s="706" t="s">
        <v>248</v>
      </c>
      <c r="D43" s="707"/>
      <c r="E43" s="398">
        <f t="shared" ref="E43:I43" si="2">+E13+E16+E25+E29+E32+E37+E39+E40+E41</f>
        <v>130204948.29000001</v>
      </c>
      <c r="F43" s="398">
        <f t="shared" si="2"/>
        <v>8790009.3699999992</v>
      </c>
      <c r="G43" s="398">
        <f t="shared" si="2"/>
        <v>138994957.66</v>
      </c>
      <c r="H43" s="398">
        <f t="shared" si="2"/>
        <v>26471793.890000001</v>
      </c>
      <c r="I43" s="398">
        <f t="shared" si="2"/>
        <v>26471793.890000001</v>
      </c>
      <c r="J43" s="398">
        <f>+J13+J16+J25+J29+J32+J37+J39+J40+J41</f>
        <v>112523163.77</v>
      </c>
      <c r="K43" s="124"/>
    </row>
    <row r="44" spans="1:11" x14ac:dyDescent="0.2">
      <c r="B44" s="613" t="s">
        <v>149</v>
      </c>
      <c r="C44" s="613"/>
      <c r="D44" s="613"/>
      <c r="E44" s="613"/>
      <c r="F44" s="613"/>
      <c r="G44" s="613"/>
      <c r="H44" s="613"/>
      <c r="I44" s="21"/>
      <c r="J44" s="21"/>
    </row>
    <row r="45" spans="1:11" ht="53.25" hidden="1" customHeight="1" x14ac:dyDescent="0.2">
      <c r="B45" s="638" t="s">
        <v>249</v>
      </c>
      <c r="C45" s="639"/>
      <c r="D45" s="639"/>
      <c r="E45" s="639"/>
      <c r="F45" s="639"/>
      <c r="G45" s="639"/>
      <c r="H45" s="639"/>
      <c r="I45" s="639"/>
      <c r="J45" s="143"/>
    </row>
    <row r="46" spans="1:11" x14ac:dyDescent="0.2">
      <c r="B46" s="613"/>
      <c r="C46" s="613"/>
      <c r="D46" s="613"/>
      <c r="E46" s="613"/>
      <c r="F46" s="613"/>
      <c r="G46" s="613"/>
      <c r="H46" s="613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4:10" x14ac:dyDescent="0.2">
      <c r="E49" s="143"/>
      <c r="F49" s="143"/>
      <c r="G49" s="144"/>
      <c r="H49" s="143"/>
      <c r="I49" s="143"/>
      <c r="J49" s="143"/>
    </row>
    <row r="50" spans="4:10" x14ac:dyDescent="0.2">
      <c r="E50" s="143"/>
      <c r="F50" s="143"/>
      <c r="G50" s="144"/>
      <c r="H50" s="143"/>
      <c r="I50" s="143"/>
      <c r="J50" s="143"/>
    </row>
    <row r="51" spans="4:10" x14ac:dyDescent="0.2">
      <c r="E51" s="143"/>
      <c r="F51" s="143"/>
      <c r="G51" s="144"/>
      <c r="H51" s="143"/>
      <c r="I51" s="143"/>
      <c r="J51" s="143"/>
    </row>
    <row r="52" spans="4:10" ht="13.5" customHeight="1" x14ac:dyDescent="0.2">
      <c r="E52" s="143"/>
      <c r="F52" s="143"/>
      <c r="G52" s="144"/>
      <c r="H52" s="143"/>
      <c r="I52" s="143"/>
      <c r="J52" s="143"/>
    </row>
    <row r="53" spans="4:10" x14ac:dyDescent="0.2">
      <c r="D53" s="1"/>
      <c r="E53" s="310"/>
      <c r="F53" s="310"/>
      <c r="G53" s="311"/>
      <c r="H53" s="310"/>
      <c r="I53" s="310"/>
      <c r="J53" s="310"/>
    </row>
    <row r="54" spans="4:10" x14ac:dyDescent="0.2">
      <c r="D54" s="307"/>
      <c r="E54" s="310"/>
      <c r="F54" s="310"/>
      <c r="G54" s="313"/>
      <c r="H54" s="312"/>
      <c r="I54" s="312"/>
      <c r="J54" s="312"/>
    </row>
    <row r="55" spans="4:10" ht="15" customHeight="1" x14ac:dyDescent="0.2">
      <c r="D55" s="356" t="str">
        <f>+ENTE!D10</f>
        <v xml:space="preserve">M. EN A.  GONZALO FERREIRA MARTÍNEZ </v>
      </c>
      <c r="E55" s="356"/>
      <c r="F55" s="356"/>
      <c r="G55" s="649" t="str">
        <f>+ENTE!D14</f>
        <v>C.P.  ELDA GRACIELA FLORES HERNÁNDEZ</v>
      </c>
      <c r="H55" s="649"/>
      <c r="I55" s="649"/>
      <c r="J55" s="649"/>
    </row>
    <row r="56" spans="4:10" ht="15" customHeight="1" x14ac:dyDescent="0.2">
      <c r="D56" s="356" t="str">
        <f>+ENTE!D12</f>
        <v>DIRECTOR DE ADMINISTRACIÓN  Y FINANZAS</v>
      </c>
      <c r="E56" s="356"/>
      <c r="F56" s="356"/>
      <c r="G56" s="648" t="str">
        <f>+ENTE!D16</f>
        <v>JEFA DEL DEPARTAMENTO DE ADMINISTRACIÓN FINANCIERA</v>
      </c>
      <c r="H56" s="648"/>
      <c r="I56" s="648"/>
      <c r="J56" s="648"/>
    </row>
    <row r="57" spans="4:10" x14ac:dyDescent="0.2">
      <c r="E57" s="143"/>
      <c r="F57" s="143"/>
      <c r="G57" s="143"/>
      <c r="H57" s="143"/>
      <c r="I57" s="143"/>
      <c r="J57" s="144"/>
    </row>
  </sheetData>
  <sheetProtection algorithmName="SHA-512" hashValue="QcaM+nbime4hW4kfi2+6dEQKRo20erEAJuSI3xmw44ycEdEU6prsDaOvEH5zb64RVWs+Ah+RuT4Nokm1eCy/4A==" saltValue="lYFWarmAGigtxT5DTZZOzQ==" spinCount="100000" sheet="1" objects="1" scenarios="1" selectLockedCells="1"/>
  <mergeCells count="24"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tabSelected="1" showRuler="0" showOutlineSymbols="0" zoomScale="80" zoomScaleNormal="80" workbookViewId="0">
      <selection activeCell="C2" sqref="C2:D2"/>
    </sheetView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6" x14ac:dyDescent="0.55000000000000004">
      <c r="C2" s="594" t="s">
        <v>775</v>
      </c>
      <c r="D2" s="594"/>
    </row>
    <row r="3" spans="3:15" ht="31.5" x14ac:dyDescent="0.5">
      <c r="C3" s="595" t="s">
        <v>776</v>
      </c>
      <c r="D3" s="595"/>
    </row>
    <row r="4" spans="3:15" ht="23.25" x14ac:dyDescent="0.35">
      <c r="C4" s="596" t="s">
        <v>1</v>
      </c>
      <c r="D4" s="596"/>
      <c r="K4" s="182"/>
    </row>
    <row r="5" spans="3:15" ht="21" x14ac:dyDescent="0.35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800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6.25" x14ac:dyDescent="0.4">
      <c r="C7" s="597" t="s">
        <v>353</v>
      </c>
      <c r="D7" s="597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1" x14ac:dyDescent="0.35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777</v>
      </c>
      <c r="D15" s="199" t="s">
        <v>643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808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A17" s="179"/>
      <c r="C17" s="169"/>
      <c r="D17" s="185"/>
      <c r="F17" s="169"/>
    </row>
    <row r="18" spans="1:15" ht="26.25" x14ac:dyDescent="0.4">
      <c r="C18" s="597" t="s">
        <v>354</v>
      </c>
      <c r="D18" s="597"/>
      <c r="F18" s="169"/>
    </row>
    <row r="19" spans="1:15" ht="21" x14ac:dyDescent="0.35">
      <c r="C19" s="199" t="s">
        <v>351</v>
      </c>
      <c r="D19" s="199" t="s">
        <v>570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21" x14ac:dyDescent="0.35">
      <c r="C20" s="199" t="s">
        <v>352</v>
      </c>
      <c r="D20" s="199" t="s">
        <v>582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21" x14ac:dyDescent="0.35">
      <c r="C21" s="199" t="s">
        <v>493</v>
      </c>
      <c r="D21" s="199" t="s">
        <v>672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69"/>
      <c r="I26" s="180"/>
      <c r="J26" s="180"/>
    </row>
    <row r="27" spans="1:15" x14ac:dyDescent="0.25">
      <c r="I27" s="181" t="str">
        <f>+UPPER(C26)</f>
        <v/>
      </c>
    </row>
    <row r="30" spans="1:15" x14ac:dyDescent="0.25">
      <c r="A30" s="124"/>
    </row>
    <row r="31" spans="1:15" x14ac:dyDescent="0.25">
      <c r="A31" s="124"/>
    </row>
    <row r="32" spans="1:15" x14ac:dyDescent="0.25">
      <c r="A32" s="124"/>
    </row>
    <row r="33" spans="1:1" x14ac:dyDescent="0.25">
      <c r="A33" s="124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0000"/>
    <pageSetUpPr fitToPage="1"/>
  </sheetPr>
  <dimension ref="B2:K20"/>
  <sheetViews>
    <sheetView showGridLines="0" view="pageBreakPreview" topLeftCell="D1" zoomScaleNormal="100" zoomScaleSheetLayoutView="100" workbookViewId="0">
      <selection activeCell="J16" sqref="J16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38.42578125" style="3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02" t="s">
        <v>378</v>
      </c>
      <c r="D2" s="602"/>
      <c r="E2" s="602"/>
      <c r="F2" s="602"/>
      <c r="G2" s="602"/>
      <c r="H2" s="602"/>
      <c r="I2" s="602"/>
      <c r="J2" s="281"/>
      <c r="K2" s="281"/>
    </row>
    <row r="3" spans="2:11" s="2" customFormat="1" x14ac:dyDescent="0.2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 x14ac:dyDescent="0.2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  <c r="J7" s="604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1" t="s">
        <v>378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1" ht="13.5" customHeight="1" x14ac:dyDescent="0.2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4</v>
      </c>
      <c r="C14" s="194" t="s">
        <v>87</v>
      </c>
      <c r="D14" s="188">
        <v>-23401388.66</v>
      </c>
      <c r="E14" s="188">
        <v>1155711.79</v>
      </c>
      <c r="F14" s="188">
        <v>-199792.25</v>
      </c>
      <c r="G14" s="188">
        <v>0</v>
      </c>
      <c r="H14" s="188">
        <v>0</v>
      </c>
      <c r="I14" s="188">
        <v>0</v>
      </c>
      <c r="J14" s="190">
        <v>22445469.100000001</v>
      </c>
    </row>
    <row r="15" spans="2:11" x14ac:dyDescent="0.2">
      <c r="B15" s="193">
        <v>5</v>
      </c>
      <c r="C15" s="194" t="s">
        <v>88</v>
      </c>
      <c r="D15" s="188">
        <v>-37680674.630000003</v>
      </c>
      <c r="E15" s="188">
        <v>-1521.23</v>
      </c>
      <c r="F15" s="188">
        <v>-113131.91</v>
      </c>
      <c r="G15" s="188">
        <v>0</v>
      </c>
      <c r="H15" s="188">
        <v>0</v>
      </c>
      <c r="I15" s="188">
        <v>0</v>
      </c>
      <c r="J15" s="190">
        <v>37795327.700000003</v>
      </c>
    </row>
    <row r="16" spans="2:11" x14ac:dyDescent="0.2">
      <c r="B16" s="193">
        <v>6</v>
      </c>
      <c r="C16" s="194" t="s">
        <v>89</v>
      </c>
      <c r="D16" s="188">
        <v>-69122885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90">
        <v>69122885</v>
      </c>
    </row>
    <row r="17" spans="2:10" x14ac:dyDescent="0.2">
      <c r="B17" s="195">
        <v>7</v>
      </c>
      <c r="C17" s="17" t="s">
        <v>90</v>
      </c>
      <c r="D17" s="191">
        <v>0</v>
      </c>
      <c r="E17" s="191">
        <v>111368973.20999999</v>
      </c>
      <c r="F17" s="191">
        <v>-8477085.2100000009</v>
      </c>
      <c r="G17" s="191">
        <v>0</v>
      </c>
      <c r="H17" s="191">
        <v>0</v>
      </c>
      <c r="I17" s="191">
        <v>0</v>
      </c>
      <c r="J17" s="192">
        <v>-102891887.91</v>
      </c>
    </row>
    <row r="18" spans="2:10" x14ac:dyDescent="0.2">
      <c r="D18" s="10">
        <f t="shared" ref="D18:J18" si="0">SUM(D11:D17)</f>
        <v>-130204948.29000001</v>
      </c>
      <c r="E18" s="10">
        <f t="shared" si="0"/>
        <v>112523163.77</v>
      </c>
      <c r="F18" s="10">
        <f t="shared" si="0"/>
        <v>-8790009.370000001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26471793.890000015</v>
      </c>
    </row>
    <row r="19" spans="2:10" x14ac:dyDescent="0.2">
      <c r="D19" s="8"/>
      <c r="E19" s="8"/>
      <c r="F19" s="8"/>
      <c r="G19" s="8"/>
      <c r="H19" s="8"/>
      <c r="I19" s="8"/>
      <c r="J19" s="8"/>
    </row>
    <row r="20" spans="2:10" x14ac:dyDescent="0.2">
      <c r="D20" s="11" t="str">
        <f>IF(SUM(D18:J18)=0," ","ERROR EN LA SUMATORIA DE LOS SALDOS, LA SUMA DE TODAS LAS COLUMNAS DEBE SER CERO, HAY UN DESCUADRE POR: "&amp;SUM(D18:J18))</f>
        <v xml:space="preserve"> </v>
      </c>
      <c r="E20" s="8"/>
      <c r="F20" s="8"/>
      <c r="G20" s="8"/>
      <c r="H20" s="8"/>
      <c r="I20" s="8"/>
      <c r="J20" s="8"/>
    </row>
  </sheetData>
  <sheetProtection algorithmName="SHA-512" hashValue="jnkPf4RLeIep8BS4miUYMfakbT7t9sCTdUF4HXlMrWVvvuWHBqfn9POO2tQjgcn1VwC+GnphChfpGLGSGddgTw==" saltValue="JwJd/SzVs07vuCZo/EzzWA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50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23" t="s">
        <v>0</v>
      </c>
      <c r="C1" s="723"/>
      <c r="D1" s="723"/>
      <c r="E1" s="723"/>
      <c r="F1" s="723"/>
      <c r="G1" s="723"/>
      <c r="H1" s="723"/>
      <c r="I1" s="723"/>
      <c r="J1" s="723"/>
      <c r="K1" s="723"/>
    </row>
    <row r="2" spans="1:11" s="20" customFormat="1" ht="12" customHeight="1" x14ac:dyDescent="0.2">
      <c r="B2" s="723" t="s">
        <v>2</v>
      </c>
      <c r="C2" s="723"/>
      <c r="D2" s="723"/>
      <c r="E2" s="723"/>
      <c r="F2" s="723"/>
      <c r="G2" s="723"/>
      <c r="H2" s="723"/>
      <c r="I2" s="723"/>
      <c r="J2" s="723"/>
      <c r="K2" s="723"/>
    </row>
    <row r="3" spans="1:11" s="20" customFormat="1" ht="12" customHeight="1" x14ac:dyDescent="0.2">
      <c r="B3" s="723" t="s">
        <v>1</v>
      </c>
      <c r="C3" s="723"/>
      <c r="D3" s="723"/>
      <c r="E3" s="723"/>
      <c r="F3" s="723"/>
      <c r="G3" s="723"/>
      <c r="H3" s="723"/>
      <c r="I3" s="723"/>
      <c r="J3" s="723"/>
      <c r="K3" s="723"/>
    </row>
    <row r="4" spans="1:11" ht="12" customHeight="1" x14ac:dyDescent="0.2">
      <c r="B4" s="723" t="s">
        <v>91</v>
      </c>
      <c r="C4" s="723"/>
      <c r="D4" s="723"/>
      <c r="E4" s="723"/>
      <c r="F4" s="723"/>
      <c r="G4" s="723"/>
      <c r="H4" s="723"/>
      <c r="I4" s="723"/>
      <c r="J4" s="723"/>
      <c r="K4" s="723"/>
    </row>
    <row r="5" spans="1:11" ht="12" customHeight="1" x14ac:dyDescent="0.2">
      <c r="B5" s="723" t="s">
        <v>150</v>
      </c>
      <c r="C5" s="723"/>
      <c r="D5" s="723"/>
      <c r="E5" s="723"/>
      <c r="F5" s="723"/>
      <c r="G5" s="723"/>
      <c r="H5" s="723"/>
      <c r="I5" s="723"/>
      <c r="J5" s="723"/>
      <c r="K5" s="723"/>
    </row>
    <row r="6" spans="1:11" ht="12" customHeight="1" x14ac:dyDescent="0.2">
      <c r="B6" s="723" t="s">
        <v>92</v>
      </c>
      <c r="C6" s="723"/>
      <c r="D6" s="723"/>
      <c r="E6" s="723"/>
      <c r="F6" s="723"/>
      <c r="G6" s="723"/>
      <c r="H6" s="723"/>
      <c r="I6" s="723"/>
      <c r="J6" s="723"/>
      <c r="K6" s="723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24" t="str">
        <f>ENTE!D8</f>
        <v xml:space="preserve">UNIVERSIDAD TECNOLÓGICA DE SAN JUAN DEL RÍO </v>
      </c>
      <c r="D8" s="724"/>
      <c r="E8" s="724"/>
      <c r="F8" s="724"/>
      <c r="G8" s="724"/>
      <c r="H8" s="724"/>
      <c r="I8" s="724"/>
      <c r="J8" s="724"/>
      <c r="K8" s="724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25" t="s">
        <v>93</v>
      </c>
      <c r="C11" s="725"/>
      <c r="D11" s="171">
        <v>2015</v>
      </c>
      <c r="E11" s="171">
        <v>2016</v>
      </c>
      <c r="F11" s="172"/>
      <c r="G11" s="725" t="s">
        <v>93</v>
      </c>
      <c r="H11" s="725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22" t="s">
        <v>94</v>
      </c>
      <c r="C13" s="722"/>
      <c r="D13" s="32"/>
      <c r="E13" s="32"/>
      <c r="F13" s="33"/>
      <c r="G13" s="722" t="s">
        <v>95</v>
      </c>
      <c r="H13" s="722"/>
      <c r="I13" s="32"/>
      <c r="J13" s="32"/>
      <c r="K13" s="34"/>
    </row>
    <row r="14" spans="1:11" x14ac:dyDescent="0.2">
      <c r="A14" s="36"/>
      <c r="B14" s="720" t="s">
        <v>96</v>
      </c>
      <c r="C14" s="720"/>
      <c r="D14" s="37" t="e">
        <f>SUM(D15:D22)</f>
        <v>#REF!</v>
      </c>
      <c r="E14" s="37" t="e">
        <f>SUM(E15:E22)</f>
        <v>#REF!</v>
      </c>
      <c r="F14" s="33"/>
      <c r="G14" s="722" t="s">
        <v>97</v>
      </c>
      <c r="H14" s="722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613" t="s">
        <v>98</v>
      </c>
      <c r="C15" s="613"/>
      <c r="D15" s="40" t="e">
        <f>-SUM(#REF!)</f>
        <v>#REF!</v>
      </c>
      <c r="E15" s="40" t="e">
        <f>-SUM(#REF!)</f>
        <v>#REF!</v>
      </c>
      <c r="F15" s="33"/>
      <c r="G15" s="613" t="s">
        <v>99</v>
      </c>
      <c r="H15" s="613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613" t="s">
        <v>100</v>
      </c>
      <c r="C16" s="613"/>
      <c r="D16" s="40" t="e">
        <f>-SUM(#REF!)</f>
        <v>#REF!</v>
      </c>
      <c r="E16" s="40" t="e">
        <f>-SUM(#REF!)</f>
        <v>#REF!</v>
      </c>
      <c r="F16" s="33"/>
      <c r="G16" s="613" t="s">
        <v>101</v>
      </c>
      <c r="H16" s="613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613" t="s">
        <v>102</v>
      </c>
      <c r="C17" s="613"/>
      <c r="D17" s="40" t="e">
        <f>-#REF!</f>
        <v>#REF!</v>
      </c>
      <c r="E17" s="40" t="e">
        <f>-#REF!</f>
        <v>#REF!</v>
      </c>
      <c r="F17" s="33"/>
      <c r="G17" s="613" t="s">
        <v>103</v>
      </c>
      <c r="H17" s="613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613" t="s">
        <v>104</v>
      </c>
      <c r="C18" s="613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613" t="s">
        <v>105</v>
      </c>
      <c r="C19" s="613"/>
      <c r="D19" s="40" t="e">
        <f>-SUM(#REF!)</f>
        <v>#REF!</v>
      </c>
      <c r="E19" s="40" t="e">
        <f>-SUM(#REF!)</f>
        <v>#REF!</v>
      </c>
      <c r="F19" s="33"/>
      <c r="G19" s="722" t="s">
        <v>106</v>
      </c>
      <c r="H19" s="722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613" t="s">
        <v>107</v>
      </c>
      <c r="C20" s="613"/>
      <c r="D20" s="40" t="e">
        <f>-SUM(#REF!)</f>
        <v>#REF!</v>
      </c>
      <c r="E20" s="40" t="e">
        <f>-SUM(#REF!)</f>
        <v>#REF!</v>
      </c>
      <c r="F20" s="33"/>
      <c r="G20" s="613" t="s">
        <v>108</v>
      </c>
      <c r="H20" s="613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613" t="s">
        <v>109</v>
      </c>
      <c r="C21" s="613"/>
      <c r="D21" s="40" t="e">
        <f>-SUM(#REF!)</f>
        <v>#REF!</v>
      </c>
      <c r="E21" s="40" t="e">
        <f>-SUM(#REF!)</f>
        <v>#REF!</v>
      </c>
      <c r="F21" s="33"/>
      <c r="G21" s="613" t="s">
        <v>110</v>
      </c>
      <c r="H21" s="613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21" t="s">
        <v>111</v>
      </c>
      <c r="C22" s="721"/>
      <c r="D22" s="40" t="e">
        <f>-SUM(#REF!)</f>
        <v>#REF!</v>
      </c>
      <c r="E22" s="40" t="e">
        <f>-SUM(#REF!)</f>
        <v>#REF!</v>
      </c>
      <c r="F22" s="33"/>
      <c r="G22" s="613" t="s">
        <v>112</v>
      </c>
      <c r="H22" s="613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613" t="s">
        <v>113</v>
      </c>
      <c r="H23" s="613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20" t="s">
        <v>114</v>
      </c>
      <c r="C24" s="720"/>
      <c r="D24" s="37" t="e">
        <f>SUM(D25:D26)</f>
        <v>#REF!</v>
      </c>
      <c r="E24" s="37" t="e">
        <f>SUM(E25:E26)</f>
        <v>#REF!</v>
      </c>
      <c r="F24" s="33"/>
      <c r="G24" s="613" t="s">
        <v>115</v>
      </c>
      <c r="H24" s="613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613" t="s">
        <v>116</v>
      </c>
      <c r="C25" s="613"/>
      <c r="D25" s="32" t="e">
        <f>-SUM(#REF!)</f>
        <v>#REF!</v>
      </c>
      <c r="E25" s="32" t="e">
        <f>-SUM(#REF!)</f>
        <v>#REF!</v>
      </c>
      <c r="F25" s="33"/>
      <c r="G25" s="613" t="s">
        <v>117</v>
      </c>
      <c r="H25" s="613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613" t="s">
        <v>118</v>
      </c>
      <c r="C26" s="613"/>
      <c r="D26" s="40" t="e">
        <f>-SUM(#REF!)</f>
        <v>#REF!</v>
      </c>
      <c r="E26" s="40" t="e">
        <f>-SUM(#REF!)</f>
        <v>#REF!</v>
      </c>
      <c r="F26" s="33"/>
      <c r="G26" s="613" t="s">
        <v>119</v>
      </c>
      <c r="H26" s="613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613" t="s">
        <v>120</v>
      </c>
      <c r="H27" s="613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20" t="s">
        <v>121</v>
      </c>
      <c r="C28" s="720"/>
      <c r="D28" s="37" t="e">
        <f>SUM(D29:D33)</f>
        <v>#REF!</v>
      </c>
      <c r="E28" s="37" t="e">
        <f>SUM(E29:E33)</f>
        <v>#REF!</v>
      </c>
      <c r="F28" s="33"/>
      <c r="G28" s="613" t="s">
        <v>122</v>
      </c>
      <c r="H28" s="613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613" t="s">
        <v>123</v>
      </c>
      <c r="C29" s="613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613" t="s">
        <v>124</v>
      </c>
      <c r="C30" s="613"/>
      <c r="D30" s="40" t="e">
        <f>-SUM(#REF!)</f>
        <v>#REF!</v>
      </c>
      <c r="E30" s="40" t="e">
        <f>-SUM(#REF!)</f>
        <v>#REF!</v>
      </c>
      <c r="F30" s="33"/>
      <c r="G30" s="720" t="s">
        <v>116</v>
      </c>
      <c r="H30" s="720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21" t="s">
        <v>125</v>
      </c>
      <c r="C31" s="721"/>
      <c r="D31" s="40" t="e">
        <f>-SUM(#REF!)</f>
        <v>#REF!</v>
      </c>
      <c r="E31" s="40" t="e">
        <f>-SUM(#REF!)</f>
        <v>#REF!</v>
      </c>
      <c r="F31" s="33"/>
      <c r="G31" s="613" t="s">
        <v>126</v>
      </c>
      <c r="H31" s="613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613" t="s">
        <v>127</v>
      </c>
      <c r="C32" s="613"/>
      <c r="D32" s="40" t="e">
        <f>-SUM(#REF!)</f>
        <v>#REF!</v>
      </c>
      <c r="E32" s="40" t="e">
        <f>-SUM(#REF!)</f>
        <v>#REF!</v>
      </c>
      <c r="F32" s="33"/>
      <c r="G32" s="613" t="s">
        <v>128</v>
      </c>
      <c r="H32" s="613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613" t="s">
        <v>129</v>
      </c>
      <c r="C33" s="613"/>
      <c r="D33" s="40" t="e">
        <f>-SUM(#REF!)</f>
        <v>#REF!</v>
      </c>
      <c r="E33" s="40" t="e">
        <f>-SUM(#REF!)</f>
        <v>#REF!</v>
      </c>
      <c r="F33" s="33"/>
      <c r="G33" s="613" t="s">
        <v>130</v>
      </c>
      <c r="H33" s="613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15" t="s">
        <v>131</v>
      </c>
      <c r="C35" s="715"/>
      <c r="D35" s="46" t="e">
        <f>D14+D24+D28</f>
        <v>#REF!</v>
      </c>
      <c r="E35" s="46" t="e">
        <f>E14+E24+E28</f>
        <v>#REF!</v>
      </c>
      <c r="F35" s="47"/>
      <c r="G35" s="722" t="s">
        <v>132</v>
      </c>
      <c r="H35" s="722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15"/>
      <c r="C36" s="715"/>
      <c r="D36" s="32"/>
      <c r="E36" s="32"/>
      <c r="F36" s="33"/>
      <c r="G36" s="613" t="s">
        <v>133</v>
      </c>
      <c r="H36" s="613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613" t="s">
        <v>134</v>
      </c>
      <c r="H37" s="613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613" t="s">
        <v>135</v>
      </c>
      <c r="H38" s="613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613" t="s">
        <v>136</v>
      </c>
      <c r="H39" s="613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613" t="s">
        <v>137</v>
      </c>
      <c r="H40" s="613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20" t="s">
        <v>138</v>
      </c>
      <c r="H42" s="720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21" t="s">
        <v>139</v>
      </c>
      <c r="H43" s="721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613" t="s">
        <v>140</v>
      </c>
      <c r="H44" s="613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613" t="s">
        <v>141</v>
      </c>
      <c r="H45" s="613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21" t="s">
        <v>142</v>
      </c>
      <c r="H46" s="721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613" t="s">
        <v>143</v>
      </c>
      <c r="H47" s="613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613" t="s">
        <v>144</v>
      </c>
      <c r="H48" s="613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20" t="s">
        <v>145</v>
      </c>
      <c r="H50" s="720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613" t="s">
        <v>146</v>
      </c>
      <c r="H51" s="613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15" t="s">
        <v>147</v>
      </c>
      <c r="H53" s="715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716" t="s">
        <v>148</v>
      </c>
      <c r="H55" s="716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717" t="s">
        <v>149</v>
      </c>
      <c r="C60" s="717"/>
      <c r="D60" s="717"/>
      <c r="E60" s="717"/>
      <c r="F60" s="717"/>
      <c r="G60" s="717"/>
      <c r="H60" s="717"/>
      <c r="I60" s="717"/>
      <c r="J60" s="717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718"/>
      <c r="D62" s="718"/>
      <c r="E62" s="63"/>
      <c r="G62" s="719"/>
      <c r="H62" s="719"/>
      <c r="I62" s="63"/>
      <c r="J62" s="63"/>
    </row>
    <row r="63" spans="1:11" ht="14.1" customHeight="1" x14ac:dyDescent="0.2">
      <c r="B63" s="66"/>
      <c r="C63" s="713" t="str">
        <f>ENTE!D10</f>
        <v xml:space="preserve">M. EN A.  GONZALO FERREIRA MARTÍNEZ </v>
      </c>
      <c r="D63" s="713"/>
      <c r="E63" s="63"/>
      <c r="F63" s="63"/>
      <c r="G63" s="713" t="str">
        <f>ENTE!D14</f>
        <v>C.P.  ELDA GRACIELA FLORES HERNÁNDEZ</v>
      </c>
      <c r="H63" s="713"/>
      <c r="I63" s="67"/>
      <c r="J63" s="63"/>
    </row>
    <row r="64" spans="1:11" ht="14.1" customHeight="1" x14ac:dyDescent="0.2">
      <c r="B64" s="68"/>
      <c r="C64" s="714" t="str">
        <f>ENTE!D12</f>
        <v>DIRECTOR DE ADMINISTRACIÓN  Y FINANZAS</v>
      </c>
      <c r="D64" s="714"/>
      <c r="E64" s="69"/>
      <c r="F64" s="69"/>
      <c r="G64" s="714" t="str">
        <f>ENTE!D16</f>
        <v>JEFA DEL DEPARTAMENTO DE ADMINISTRACIÓN FINANCIERA</v>
      </c>
      <c r="H64" s="714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23" t="s">
        <v>0</v>
      </c>
      <c r="C1" s="723"/>
      <c r="D1" s="723"/>
      <c r="E1" s="723"/>
      <c r="F1" s="723"/>
      <c r="G1" s="723"/>
      <c r="H1" s="723"/>
      <c r="I1" s="723"/>
      <c r="J1" s="723"/>
      <c r="K1" s="723"/>
    </row>
    <row r="2" spans="1:12" ht="12" customHeight="1" x14ac:dyDescent="0.2">
      <c r="B2" s="723" t="s">
        <v>2</v>
      </c>
      <c r="C2" s="723"/>
      <c r="D2" s="723"/>
      <c r="E2" s="723"/>
      <c r="F2" s="723"/>
      <c r="G2" s="723"/>
      <c r="H2" s="723"/>
      <c r="I2" s="723"/>
      <c r="J2" s="723"/>
      <c r="K2" s="723"/>
      <c r="L2" s="33"/>
    </row>
    <row r="3" spans="1:12" ht="12" customHeight="1" x14ac:dyDescent="0.2">
      <c r="B3" s="723" t="s">
        <v>1</v>
      </c>
      <c r="C3" s="723"/>
      <c r="D3" s="723"/>
      <c r="E3" s="723"/>
      <c r="F3" s="723"/>
      <c r="G3" s="723"/>
      <c r="H3" s="723"/>
      <c r="I3" s="723"/>
      <c r="J3" s="723"/>
      <c r="K3" s="723"/>
      <c r="L3" s="33"/>
    </row>
    <row r="4" spans="1:12" ht="12" customHeight="1" x14ac:dyDescent="0.2">
      <c r="B4" s="733" t="s">
        <v>151</v>
      </c>
      <c r="C4" s="733"/>
      <c r="D4" s="733"/>
      <c r="E4" s="733"/>
      <c r="F4" s="733"/>
      <c r="G4" s="733"/>
      <c r="H4" s="733"/>
      <c r="I4" s="733"/>
      <c r="J4" s="733"/>
      <c r="K4" s="733"/>
    </row>
    <row r="5" spans="1:12" ht="12" customHeight="1" x14ac:dyDescent="0.2">
      <c r="B5" s="733" t="s">
        <v>211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2" ht="12" customHeight="1" x14ac:dyDescent="0.2">
      <c r="B6" s="732" t="s">
        <v>92</v>
      </c>
      <c r="C6" s="732"/>
      <c r="D6" s="732"/>
      <c r="E6" s="732"/>
      <c r="F6" s="732"/>
      <c r="G6" s="732"/>
      <c r="H6" s="732"/>
      <c r="I6" s="732"/>
      <c r="J6" s="732"/>
      <c r="K6" s="732"/>
    </row>
    <row r="7" spans="1:12" ht="12" customHeight="1" x14ac:dyDescent="0.2">
      <c r="A7" s="73"/>
      <c r="B7" s="24" t="s">
        <v>4</v>
      </c>
      <c r="C7" s="724" t="str">
        <f>ENTE!D8</f>
        <v xml:space="preserve">UNIVERSIDAD TECNOLÓGICA DE SAN JUAN DEL RÍO </v>
      </c>
      <c r="D7" s="724"/>
      <c r="E7" s="724"/>
      <c r="F7" s="724"/>
      <c r="G7" s="724"/>
      <c r="H7" s="724"/>
      <c r="I7" s="724"/>
      <c r="J7" s="724"/>
      <c r="K7" s="724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726"/>
      <c r="B10" s="728" t="s">
        <v>152</v>
      </c>
      <c r="C10" s="728"/>
      <c r="D10" s="174" t="s">
        <v>153</v>
      </c>
      <c r="E10" s="174"/>
      <c r="F10" s="730"/>
      <c r="G10" s="728" t="s">
        <v>152</v>
      </c>
      <c r="H10" s="728"/>
      <c r="I10" s="174" t="s">
        <v>153</v>
      </c>
      <c r="J10" s="174"/>
      <c r="K10" s="175"/>
      <c r="L10" s="76"/>
    </row>
    <row r="11" spans="1:12" s="77" customFormat="1" ht="15" customHeight="1" x14ac:dyDescent="0.2">
      <c r="A11" s="727"/>
      <c r="B11" s="729"/>
      <c r="C11" s="729"/>
      <c r="D11" s="176">
        <v>2015</v>
      </c>
      <c r="E11" s="176">
        <v>2016</v>
      </c>
      <c r="F11" s="731"/>
      <c r="G11" s="729"/>
      <c r="H11" s="729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20" t="s">
        <v>154</v>
      </c>
      <c r="C14" s="720"/>
      <c r="D14" s="80"/>
      <c r="E14" s="42"/>
      <c r="G14" s="720" t="s">
        <v>155</v>
      </c>
      <c r="H14" s="720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15" t="s">
        <v>156</v>
      </c>
      <c r="C16" s="715"/>
      <c r="D16" s="32"/>
      <c r="E16" s="32"/>
      <c r="G16" s="715" t="s">
        <v>157</v>
      </c>
      <c r="H16" s="715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613" t="s">
        <v>158</v>
      </c>
      <c r="C18" s="613"/>
      <c r="D18" s="32" t="e">
        <f>SUM(#REF!)</f>
        <v>#REF!</v>
      </c>
      <c r="E18" s="32" t="e">
        <f>SUM(#REF!)</f>
        <v>#REF!</v>
      </c>
      <c r="F18" s="81"/>
      <c r="G18" s="613" t="s">
        <v>159</v>
      </c>
      <c r="H18" s="613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613" t="s">
        <v>160</v>
      </c>
      <c r="C19" s="613"/>
      <c r="D19" s="32" t="e">
        <f>SUM(#REF!)</f>
        <v>#REF!</v>
      </c>
      <c r="E19" s="32" t="e">
        <f>SUM(#REF!)</f>
        <v>#REF!</v>
      </c>
      <c r="F19" s="81"/>
      <c r="G19" s="613" t="s">
        <v>161</v>
      </c>
      <c r="H19" s="613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613" t="s">
        <v>162</v>
      </c>
      <c r="C20" s="613"/>
      <c r="D20" s="32" t="e">
        <f>SUM(#REF!)</f>
        <v>#REF!</v>
      </c>
      <c r="E20" s="32" t="e">
        <f>SUM(#REF!)</f>
        <v>#REF!</v>
      </c>
      <c r="F20" s="81"/>
      <c r="G20" s="613" t="s">
        <v>163</v>
      </c>
      <c r="H20" s="613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613" t="s">
        <v>164</v>
      </c>
      <c r="C21" s="613"/>
      <c r="D21" s="32" t="e">
        <f>SUM(#REF!)</f>
        <v>#REF!</v>
      </c>
      <c r="E21" s="32" t="e">
        <f>SUM(#REF!)</f>
        <v>#REF!</v>
      </c>
      <c r="F21" s="81"/>
      <c r="G21" s="613" t="s">
        <v>165</v>
      </c>
      <c r="H21" s="613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613" t="s">
        <v>166</v>
      </c>
      <c r="C22" s="613"/>
      <c r="D22" s="32" t="e">
        <f>SUM(#REF!)</f>
        <v>#REF!</v>
      </c>
      <c r="E22" s="32" t="e">
        <f>SUM(#REF!)</f>
        <v>#REF!</v>
      </c>
      <c r="F22" s="81"/>
      <c r="G22" s="613" t="s">
        <v>167</v>
      </c>
      <c r="H22" s="613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613" t="s">
        <v>168</v>
      </c>
      <c r="C23" s="613"/>
      <c r="D23" s="32" t="e">
        <f>SUM(#REF!)</f>
        <v>#REF!</v>
      </c>
      <c r="E23" s="32" t="e">
        <f>SUM(#REF!)</f>
        <v>#REF!</v>
      </c>
      <c r="F23" s="81"/>
      <c r="G23" s="721" t="s">
        <v>169</v>
      </c>
      <c r="H23" s="721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613" t="s">
        <v>170</v>
      </c>
      <c r="C24" s="613"/>
      <c r="D24" s="32" t="e">
        <f>SUM(#REF!)</f>
        <v>#REF!</v>
      </c>
      <c r="E24" s="32" t="e">
        <f>SUM(#REF!)</f>
        <v>#REF!</v>
      </c>
      <c r="F24" s="81"/>
      <c r="G24" s="613" t="s">
        <v>171</v>
      </c>
      <c r="H24" s="613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613" t="s">
        <v>172</v>
      </c>
      <c r="H25" s="613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15" t="s">
        <v>173</v>
      </c>
      <c r="C26" s="715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15" t="s">
        <v>174</v>
      </c>
      <c r="H27" s="715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15" t="s">
        <v>175</v>
      </c>
      <c r="C29" s="715"/>
      <c r="D29" s="32"/>
      <c r="E29" s="32"/>
      <c r="F29" s="81"/>
      <c r="G29" s="715" t="s">
        <v>176</v>
      </c>
      <c r="H29" s="715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613" t="s">
        <v>177</v>
      </c>
      <c r="C31" s="613"/>
      <c r="D31" s="32" t="e">
        <f>SUM(#REF!)</f>
        <v>#REF!</v>
      </c>
      <c r="E31" s="32" t="e">
        <f>SUM(#REF!)</f>
        <v>#REF!</v>
      </c>
      <c r="F31" s="81"/>
      <c r="G31" s="613" t="s">
        <v>178</v>
      </c>
      <c r="H31" s="613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613" t="s">
        <v>179</v>
      </c>
      <c r="C32" s="613"/>
      <c r="D32" s="32" t="e">
        <f>SUM(#REF!)</f>
        <v>#REF!</v>
      </c>
      <c r="E32" s="32" t="e">
        <f>SUM(#REF!)</f>
        <v>#REF!</v>
      </c>
      <c r="F32" s="81"/>
      <c r="G32" s="613" t="s">
        <v>180</v>
      </c>
      <c r="H32" s="613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613" t="s">
        <v>181</v>
      </c>
      <c r="C33" s="613"/>
      <c r="D33" s="32" t="e">
        <f>SUM(#REF!)</f>
        <v>#REF!</v>
      </c>
      <c r="E33" s="32" t="e">
        <f>SUM(#REF!)</f>
        <v>#REF!</v>
      </c>
      <c r="F33" s="81"/>
      <c r="G33" s="613" t="s">
        <v>182</v>
      </c>
      <c r="H33" s="613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613" t="s">
        <v>183</v>
      </c>
      <c r="C34" s="613"/>
      <c r="D34" s="32" t="e">
        <f>SUM(#REF!)</f>
        <v>#REF!</v>
      </c>
      <c r="E34" s="32" t="e">
        <f>SUM(#REF!)</f>
        <v>#REF!</v>
      </c>
      <c r="F34" s="81"/>
      <c r="G34" s="613" t="s">
        <v>184</v>
      </c>
      <c r="H34" s="613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613" t="s">
        <v>185</v>
      </c>
      <c r="C35" s="613"/>
      <c r="D35" s="32" t="e">
        <f>SUM(#REF!)</f>
        <v>#REF!</v>
      </c>
      <c r="E35" s="32" t="e">
        <f>SUM(#REF!)</f>
        <v>#REF!</v>
      </c>
      <c r="F35" s="81"/>
      <c r="G35" s="721" t="s">
        <v>186</v>
      </c>
      <c r="H35" s="721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613" t="s">
        <v>187</v>
      </c>
      <c r="C36" s="613"/>
      <c r="D36" s="32" t="e">
        <f>SUM(#REF!)</f>
        <v>#REF!</v>
      </c>
      <c r="E36" s="32" t="e">
        <f>SUM(#REF!)</f>
        <v>#REF!</v>
      </c>
      <c r="F36" s="81"/>
      <c r="G36" s="613" t="s">
        <v>188</v>
      </c>
      <c r="H36" s="613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613" t="s">
        <v>189</v>
      </c>
      <c r="C37" s="613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613" t="s">
        <v>190</v>
      </c>
      <c r="C38" s="613"/>
      <c r="D38" s="32" t="e">
        <f>SUM(#REF!)</f>
        <v>#REF!</v>
      </c>
      <c r="E38" s="32" t="e">
        <f>SUM(#REF!)</f>
        <v>#REF!</v>
      </c>
      <c r="F38" s="81"/>
      <c r="G38" s="715" t="s">
        <v>191</v>
      </c>
      <c r="H38" s="715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613" t="s">
        <v>192</v>
      </c>
      <c r="C39" s="613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15" t="s">
        <v>193</v>
      </c>
      <c r="H40" s="715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15" t="s">
        <v>194</v>
      </c>
      <c r="C41" s="715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20" t="s">
        <v>195</v>
      </c>
      <c r="H42" s="720"/>
      <c r="I42" s="40"/>
      <c r="J42" s="40"/>
      <c r="K42" s="30"/>
    </row>
    <row r="43" spans="1:11" s="72" customFormat="1" x14ac:dyDescent="0.2">
      <c r="A43" s="79"/>
      <c r="B43" s="715" t="s">
        <v>196</v>
      </c>
      <c r="C43" s="715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15" t="s">
        <v>197</v>
      </c>
      <c r="H44" s="715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613" t="s">
        <v>128</v>
      </c>
      <c r="H46" s="613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13" t="s">
        <v>198</v>
      </c>
      <c r="H47" s="613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13" t="s">
        <v>199</v>
      </c>
      <c r="H48" s="613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15" t="s">
        <v>200</v>
      </c>
      <c r="H50" s="715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613" t="s">
        <v>201</v>
      </c>
      <c r="H52" s="613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613" t="s">
        <v>202</v>
      </c>
      <c r="H53" s="613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613" t="s">
        <v>203</v>
      </c>
      <c r="H54" s="613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613" t="s">
        <v>204</v>
      </c>
      <c r="H55" s="613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613" t="s">
        <v>205</v>
      </c>
      <c r="H56" s="613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15" t="s">
        <v>206</v>
      </c>
      <c r="H58" s="715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613" t="s">
        <v>207</v>
      </c>
      <c r="H60" s="613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613" t="s">
        <v>208</v>
      </c>
      <c r="H61" s="613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15" t="s">
        <v>209</v>
      </c>
      <c r="H63" s="715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15" t="s">
        <v>210</v>
      </c>
      <c r="H65" s="715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717" t="s">
        <v>149</v>
      </c>
      <c r="C70" s="717"/>
      <c r="D70" s="717"/>
      <c r="E70" s="717"/>
      <c r="F70" s="717"/>
      <c r="G70" s="717"/>
      <c r="H70" s="717"/>
      <c r="I70" s="717"/>
      <c r="J70" s="717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718"/>
      <c r="D72" s="718"/>
      <c r="E72" s="63"/>
      <c r="F72" s="81"/>
      <c r="G72" s="719"/>
      <c r="H72" s="719"/>
      <c r="I72" s="63"/>
      <c r="J72" s="63"/>
      <c r="K72" s="21"/>
    </row>
    <row r="73" spans="1:11" s="72" customFormat="1" ht="14.1" customHeight="1" x14ac:dyDescent="0.2">
      <c r="A73" s="20"/>
      <c r="B73" s="66"/>
      <c r="C73" s="713">
        <f>ENTE!D20</f>
        <v>0</v>
      </c>
      <c r="D73" s="713"/>
      <c r="E73" s="63"/>
      <c r="F73" s="95"/>
      <c r="G73" s="713">
        <f>ENTE!D24</f>
        <v>0</v>
      </c>
      <c r="H73" s="713"/>
      <c r="I73" s="67"/>
      <c r="J73" s="63"/>
      <c r="K73" s="21"/>
    </row>
    <row r="74" spans="1:11" s="72" customFormat="1" ht="14.1" customHeight="1" x14ac:dyDescent="0.2">
      <c r="A74" s="20"/>
      <c r="B74" s="68"/>
      <c r="C74" s="714">
        <f>ENTE!D22</f>
        <v>0</v>
      </c>
      <c r="D74" s="714"/>
      <c r="E74" s="69"/>
      <c r="F74" s="95"/>
      <c r="G74" s="714">
        <f>ENTE!D26</f>
        <v>0</v>
      </c>
      <c r="H74" s="714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39"/>
  <sheetViews>
    <sheetView showGridLines="0" view="pageBreakPreview" topLeftCell="D1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02" t="s">
        <v>38</v>
      </c>
      <c r="C2" s="602"/>
      <c r="D2" s="602"/>
      <c r="E2" s="602"/>
      <c r="F2" s="602"/>
      <c r="G2" s="602"/>
      <c r="H2" s="602"/>
      <c r="I2" s="602"/>
      <c r="J2" s="602"/>
    </row>
    <row r="3" spans="1:10" ht="12" customHeight="1" x14ac:dyDescent="0.2">
      <c r="B3" s="617" t="s">
        <v>309</v>
      </c>
      <c r="C3" s="617"/>
      <c r="D3" s="617"/>
      <c r="E3" s="617"/>
      <c r="F3" s="617"/>
      <c r="G3" s="617"/>
      <c r="H3" s="617"/>
      <c r="I3" s="617"/>
    </row>
    <row r="4" spans="1:10" ht="12" customHeight="1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</row>
    <row r="5" spans="1:10" ht="12" customHeight="1" x14ac:dyDescent="0.2">
      <c r="B5" s="352"/>
      <c r="C5" s="617" t="s">
        <v>92</v>
      </c>
      <c r="D5" s="617"/>
      <c r="E5" s="617"/>
      <c r="F5" s="617"/>
      <c r="G5" s="617"/>
      <c r="H5" s="617"/>
      <c r="I5" s="617"/>
    </row>
    <row r="6" spans="1:10" s="21" customFormat="1" ht="12" customHeight="1" x14ac:dyDescent="0.2">
      <c r="B6" s="617"/>
      <c r="C6" s="617"/>
      <c r="D6" s="617"/>
      <c r="E6" s="617"/>
      <c r="F6" s="617"/>
      <c r="G6" s="617"/>
      <c r="H6" s="617"/>
      <c r="I6" s="617"/>
    </row>
    <row r="7" spans="1:10" s="21" customFormat="1" ht="12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</row>
    <row r="8" spans="1:10" s="21" customFormat="1" ht="12" customHeight="1" x14ac:dyDescent="0.2"/>
    <row r="9" spans="1:10" x14ac:dyDescent="0.2">
      <c r="B9" s="660" t="s">
        <v>93</v>
      </c>
      <c r="C9" s="660"/>
      <c r="D9" s="656" t="s">
        <v>494</v>
      </c>
      <c r="E9" s="656"/>
      <c r="F9" s="656"/>
      <c r="G9" s="656"/>
      <c r="H9" s="656"/>
      <c r="I9" s="656" t="s">
        <v>645</v>
      </c>
    </row>
    <row r="10" spans="1:10" ht="24" x14ac:dyDescent="0.2">
      <c r="B10" s="660"/>
      <c r="C10" s="660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6"/>
    </row>
    <row r="11" spans="1:10" x14ac:dyDescent="0.2">
      <c r="B11" s="660"/>
      <c r="C11" s="660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 x14ac:dyDescent="0.25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t="shared" ref="F14:F19" si="0">+D14+E14</f>
        <v>0</v>
      </c>
      <c r="G14" s="105">
        <f>SFF!H12+SFF!I12+SFF!J12</f>
        <v>0</v>
      </c>
      <c r="H14" s="105">
        <f>SFF!J12</f>
        <v>0</v>
      </c>
      <c r="I14" s="105">
        <f t="shared" ref="I14:I19" si="1">+F14-G14</f>
        <v>0</v>
      </c>
      <c r="J14" s="72"/>
    </row>
    <row r="15" spans="1:10" s="150" customFormat="1" x14ac:dyDescent="0.25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x14ac:dyDescent="0.25">
      <c r="A16" s="72"/>
      <c r="B16" s="83"/>
      <c r="C16" s="160" t="s">
        <v>87</v>
      </c>
      <c r="D16" s="105">
        <f>-SFF!D14</f>
        <v>23401388.66</v>
      </c>
      <c r="E16" s="105">
        <f>-SFF!F14</f>
        <v>199792.25</v>
      </c>
      <c r="F16" s="105">
        <f t="shared" si="0"/>
        <v>23601180.91</v>
      </c>
      <c r="G16" s="105">
        <f>SFF!H14+SFF!I14+SFF!J14</f>
        <v>22445469.100000001</v>
      </c>
      <c r="H16" s="105">
        <f>SFF!J14</f>
        <v>22445469.100000001</v>
      </c>
      <c r="I16" s="105">
        <f t="shared" si="1"/>
        <v>1155711.8099999987</v>
      </c>
      <c r="J16" s="72"/>
    </row>
    <row r="17" spans="1:10" s="150" customFormat="1" x14ac:dyDescent="0.25">
      <c r="A17" s="72"/>
      <c r="B17" s="83"/>
      <c r="C17" s="160" t="s">
        <v>88</v>
      </c>
      <c r="D17" s="105">
        <f>-SFF!D15</f>
        <v>37680674.630000003</v>
      </c>
      <c r="E17" s="105">
        <f>-SFF!F15</f>
        <v>113131.91</v>
      </c>
      <c r="F17" s="105">
        <f t="shared" si="0"/>
        <v>37793806.539999999</v>
      </c>
      <c r="G17" s="105">
        <f>SFF!H15+SFF!I15+SFF!J15</f>
        <v>37795327.700000003</v>
      </c>
      <c r="H17" s="105">
        <f>SFF!J15</f>
        <v>37795327.700000003</v>
      </c>
      <c r="I17" s="105">
        <f t="shared" si="1"/>
        <v>-1521.1600000038743</v>
      </c>
      <c r="J17" s="72"/>
    </row>
    <row r="18" spans="1:10" s="150" customFormat="1" x14ac:dyDescent="0.25">
      <c r="A18" s="72"/>
      <c r="B18" s="83"/>
      <c r="C18" s="160" t="s">
        <v>89</v>
      </c>
      <c r="D18" s="105">
        <f>-SFF!D16</f>
        <v>69122885</v>
      </c>
      <c r="E18" s="105">
        <f>-SFF!F16</f>
        <v>0</v>
      </c>
      <c r="F18" s="105">
        <f t="shared" si="0"/>
        <v>69122885</v>
      </c>
      <c r="G18" s="105">
        <f>SFF!H16+SFF!I16+SFF!J16</f>
        <v>69122885</v>
      </c>
      <c r="H18" s="105">
        <f>SFF!J16</f>
        <v>69122885</v>
      </c>
      <c r="I18" s="105">
        <f t="shared" si="1"/>
        <v>0</v>
      </c>
      <c r="J18" s="72"/>
    </row>
    <row r="19" spans="1:10" s="150" customFormat="1" x14ac:dyDescent="0.25">
      <c r="A19" s="72"/>
      <c r="B19" s="83"/>
      <c r="C19" s="160" t="s">
        <v>90</v>
      </c>
      <c r="D19" s="105">
        <f>-SFF!D17</f>
        <v>0</v>
      </c>
      <c r="E19" s="105">
        <f>-SFF!F17</f>
        <v>8477085.2100000009</v>
      </c>
      <c r="F19" s="105">
        <f t="shared" si="0"/>
        <v>8477085.2100000009</v>
      </c>
      <c r="G19" s="105">
        <f>SFF!H17+SFF!I17+SFF!J17</f>
        <v>-102891887.91</v>
      </c>
      <c r="H19" s="105">
        <f>SFF!J17</f>
        <v>-102891887.91</v>
      </c>
      <c r="I19" s="105">
        <f t="shared" si="1"/>
        <v>111368973.12</v>
      </c>
      <c r="J19" s="72"/>
    </row>
    <row r="20" spans="1:10" s="150" customFormat="1" x14ac:dyDescent="0.25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 x14ac:dyDescent="0.25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 x14ac:dyDescent="0.25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 x14ac:dyDescent="0.25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 x14ac:dyDescent="0.25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5"/>
      <c r="C26" s="156"/>
      <c r="D26" s="512"/>
      <c r="E26" s="512"/>
      <c r="F26" s="512"/>
      <c r="G26" s="512"/>
      <c r="H26" s="512"/>
      <c r="I26" s="512"/>
      <c r="J26" s="72"/>
    </row>
    <row r="27" spans="1:10" s="154" customFormat="1" x14ac:dyDescent="0.25">
      <c r="A27" s="153"/>
      <c r="B27" s="157"/>
      <c r="C27" s="158" t="s">
        <v>248</v>
      </c>
      <c r="D27" s="398">
        <f t="shared" ref="D27:I27" si="2">SUM(D13:D19)</f>
        <v>130204948.29000001</v>
      </c>
      <c r="E27" s="398">
        <f t="shared" si="2"/>
        <v>8790009.370000001</v>
      </c>
      <c r="F27" s="398">
        <f t="shared" si="2"/>
        <v>138994957.66</v>
      </c>
      <c r="G27" s="398">
        <f t="shared" si="2"/>
        <v>26471793.890000015</v>
      </c>
      <c r="H27" s="398">
        <f t="shared" si="2"/>
        <v>26471793.890000015</v>
      </c>
      <c r="I27" s="398">
        <f t="shared" si="2"/>
        <v>112523163.77</v>
      </c>
      <c r="J27" s="153"/>
    </row>
    <row r="28" spans="1:10" x14ac:dyDescent="0.2">
      <c r="B28" s="613" t="s">
        <v>149</v>
      </c>
      <c r="C28" s="613"/>
      <c r="D28" s="613"/>
      <c r="E28" s="613"/>
      <c r="F28" s="613"/>
      <c r="G28" s="613"/>
      <c r="H28" s="613"/>
    </row>
    <row r="29" spans="1:10" ht="52.5" hidden="1" customHeight="1" x14ac:dyDescent="0.2">
      <c r="B29" s="638" t="s">
        <v>249</v>
      </c>
      <c r="C29" s="639"/>
      <c r="D29" s="639"/>
      <c r="E29" s="639"/>
      <c r="F29" s="639"/>
      <c r="G29" s="639"/>
      <c r="H29" s="639"/>
      <c r="I29" s="639"/>
    </row>
    <row r="30" spans="1:10" ht="15.75" customHeight="1" x14ac:dyDescent="0.2">
      <c r="B30" s="354"/>
      <c r="C30" s="355"/>
      <c r="D30" s="355"/>
      <c r="E30" s="355"/>
      <c r="F30" s="355"/>
      <c r="G30" s="355"/>
      <c r="H30" s="355"/>
      <c r="I30" s="355"/>
    </row>
    <row r="31" spans="1:10" x14ac:dyDescent="0.2">
      <c r="B31" s="613"/>
      <c r="C31" s="613"/>
      <c r="D31" s="613"/>
      <c r="E31" s="613"/>
      <c r="F31" s="613"/>
      <c r="G31" s="613"/>
      <c r="H31" s="613"/>
      <c r="I31" s="143"/>
    </row>
    <row r="32" spans="1:10" x14ac:dyDescent="0.2">
      <c r="D32" s="143"/>
      <c r="E32" s="143"/>
      <c r="F32" s="143"/>
      <c r="G32" s="144" t="str">
        <f>IF(CAdmon!G77=G27," ","ERROR EN EL TOTAL DEL DEVENGADO")</f>
        <v>ERROR EN EL TOTAL DEL DEVENGADO</v>
      </c>
      <c r="I32" s="143"/>
    </row>
    <row r="33" spans="3:9" x14ac:dyDescent="0.2">
      <c r="D33" s="143"/>
      <c r="E33" s="143"/>
      <c r="F33" s="143"/>
      <c r="G33" s="144"/>
      <c r="I33" s="143"/>
    </row>
    <row r="34" spans="3:9" x14ac:dyDescent="0.2">
      <c r="D34" s="143"/>
      <c r="E34" s="143"/>
      <c r="F34" s="143"/>
      <c r="G34" s="143"/>
      <c r="H34" s="144" t="str">
        <f>IF(CAdmon!H77=H27," ","ERROR EN EL TOTAL DEL PAGADO")</f>
        <v>ERROR EN EL TOTAL DEL PAGADO</v>
      </c>
    </row>
    <row r="35" spans="3:9" x14ac:dyDescent="0.2">
      <c r="C35" s="1"/>
      <c r="D35" s="310"/>
      <c r="E35" s="310"/>
      <c r="F35" s="310"/>
      <c r="G35" s="310"/>
      <c r="H35" s="310"/>
      <c r="I35" s="311"/>
    </row>
    <row r="36" spans="3:9" x14ac:dyDescent="0.2">
      <c r="C36" s="734"/>
      <c r="D36" s="734"/>
      <c r="E36" s="1"/>
      <c r="F36" s="734"/>
      <c r="G36" s="734"/>
      <c r="H36" s="734"/>
      <c r="I36" s="292"/>
    </row>
    <row r="37" spans="3:9" x14ac:dyDescent="0.2">
      <c r="C37" s="649" t="str">
        <f>+ENTE!D10</f>
        <v xml:space="preserve">M. EN A.  GONZALO FERREIRA MARTÍNEZ </v>
      </c>
      <c r="D37" s="649"/>
      <c r="E37" s="315"/>
      <c r="F37" s="649" t="str">
        <f>+ENTE!D14</f>
        <v>C.P.  ELDA GRACIELA FLORES HERNÁNDEZ</v>
      </c>
      <c r="G37" s="649"/>
      <c r="H37" s="649"/>
      <c r="I37" s="379"/>
    </row>
    <row r="38" spans="3:9" x14ac:dyDescent="0.2">
      <c r="C38" s="648" t="str">
        <f>+ENTE!D12</f>
        <v>DIRECTOR DE ADMINISTRACIÓN  Y FINANZAS</v>
      </c>
      <c r="D38" s="648"/>
      <c r="E38" s="315"/>
      <c r="F38" s="648" t="str">
        <f>+ENTE!D16</f>
        <v>JEFA DEL DEPARTAMENTO DE ADMINISTRACIÓN FINANCIERA</v>
      </c>
      <c r="G38" s="648"/>
      <c r="H38" s="648"/>
      <c r="I38" s="380"/>
    </row>
    <row r="39" spans="3:9" x14ac:dyDescent="0.2">
      <c r="C39" s="1"/>
      <c r="D39" s="1"/>
      <c r="E39" s="1"/>
      <c r="F39" s="1"/>
      <c r="G39" s="1"/>
      <c r="H39" s="1"/>
      <c r="I39" s="1"/>
    </row>
  </sheetData>
  <sheetProtection algorithmName="SHA-512" hashValue="uT2PAKzSzlcbSKy+R/2ea3le167QvFS6ST04aOoXc8w2aFmmHzRpu6/+zcxYxv5gzbto6qUYte3TkXs71cROrA==" saltValue="izVJFcALDQRVMe4fwljy1w==" spinCount="100000" sheet="1" objects="1" scenarios="1" selectLockedCells="1"/>
  <mergeCells count="18">
    <mergeCell ref="B2:J2"/>
    <mergeCell ref="B31:H31"/>
    <mergeCell ref="B29:I29"/>
    <mergeCell ref="B3:I3"/>
    <mergeCell ref="B4:I4"/>
    <mergeCell ref="B6:I6"/>
    <mergeCell ref="C7:I7"/>
    <mergeCell ref="B9:C11"/>
    <mergeCell ref="D9:H9"/>
    <mergeCell ref="I9:I10"/>
    <mergeCell ref="C5:I5"/>
    <mergeCell ref="B28:H28"/>
    <mergeCell ref="C36:D36"/>
    <mergeCell ref="C37:D37"/>
    <mergeCell ref="C38:D38"/>
    <mergeCell ref="F36:H36"/>
    <mergeCell ref="F37:H37"/>
    <mergeCell ref="F38:H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view="pageBreakPreview" zoomScaleNormal="100" zoomScaleSheetLayoutView="100" workbookViewId="0">
      <selection activeCell="D17" sqref="D17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02"/>
      <c r="C2" s="602"/>
      <c r="D2" s="602"/>
      <c r="E2" s="602"/>
      <c r="F2" s="602"/>
      <c r="G2" s="281"/>
      <c r="H2" s="281"/>
      <c r="I2" s="281"/>
    </row>
    <row r="3" spans="2:9" ht="12" customHeight="1" x14ac:dyDescent="0.2">
      <c r="B3" s="617" t="s">
        <v>318</v>
      </c>
      <c r="C3" s="617"/>
      <c r="D3" s="617"/>
      <c r="E3" s="617"/>
      <c r="F3" s="617"/>
    </row>
    <row r="4" spans="2:9" ht="12" customHeight="1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</row>
    <row r="5" spans="2:9" ht="12" customHeight="1" x14ac:dyDescent="0.2">
      <c r="B5" s="617" t="s">
        <v>92</v>
      </c>
      <c r="C5" s="617"/>
      <c r="D5" s="617"/>
      <c r="E5" s="617"/>
      <c r="F5" s="617"/>
    </row>
    <row r="6" spans="2:9" ht="12" customHeight="1" x14ac:dyDescent="0.2">
      <c r="B6" s="617"/>
      <c r="C6" s="617"/>
      <c r="D6" s="617"/>
      <c r="E6" s="617"/>
      <c r="F6" s="617"/>
    </row>
    <row r="7" spans="2:9" ht="12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660" t="s">
        <v>93</v>
      </c>
      <c r="C9" s="660"/>
      <c r="D9" s="357" t="s">
        <v>218</v>
      </c>
      <c r="E9" s="357" t="s">
        <v>221</v>
      </c>
      <c r="F9" s="357" t="s">
        <v>319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77" t="s">
        <v>320</v>
      </c>
      <c r="C11" s="167"/>
      <c r="D11" s="514">
        <f>+D12+D13</f>
        <v>23401388.66</v>
      </c>
      <c r="E11" s="514">
        <f>+E12+E13</f>
        <v>29641856.969999999</v>
      </c>
      <c r="F11" s="514">
        <f>+F12+F13</f>
        <v>23601180.91</v>
      </c>
    </row>
    <row r="12" spans="2:9" x14ac:dyDescent="0.2">
      <c r="B12" s="740" t="s">
        <v>321</v>
      </c>
      <c r="C12" s="741"/>
      <c r="D12" s="573">
        <f>+EAI!E35</f>
        <v>0</v>
      </c>
      <c r="E12" s="573">
        <f>+EAI!H35</f>
        <v>0</v>
      </c>
      <c r="F12" s="573">
        <f>+EAI!I35</f>
        <v>0</v>
      </c>
    </row>
    <row r="13" spans="2:9" x14ac:dyDescent="0.2">
      <c r="B13" s="742" t="s">
        <v>322</v>
      </c>
      <c r="C13" s="743"/>
      <c r="D13" s="574">
        <f>+EAI!E48</f>
        <v>23401388.66</v>
      </c>
      <c r="E13" s="574">
        <f>+EAI!H48</f>
        <v>29641856.969999999</v>
      </c>
      <c r="F13" s="574">
        <f>+EAI!I48</f>
        <v>23601180.91</v>
      </c>
    </row>
    <row r="14" spans="2:9" ht="6.75" customHeight="1" thickBot="1" x14ac:dyDescent="0.25">
      <c r="B14" s="128"/>
      <c r="C14" s="345"/>
      <c r="D14" s="513"/>
      <c r="E14" s="513"/>
      <c r="F14" s="513"/>
    </row>
    <row r="15" spans="2:9" ht="12.75" thickBot="1" x14ac:dyDescent="0.25">
      <c r="B15" s="377" t="s">
        <v>323</v>
      </c>
      <c r="C15" s="167"/>
      <c r="D15" s="514">
        <f>+D16+D17</f>
        <v>130204948.28999999</v>
      </c>
      <c r="E15" s="514">
        <f>+E16+E17</f>
        <v>26471793.890000001</v>
      </c>
      <c r="F15" s="514">
        <f>+F16+F17</f>
        <v>26471793.890000001</v>
      </c>
    </row>
    <row r="16" spans="2:9" x14ac:dyDescent="0.2">
      <c r="B16" s="744" t="s">
        <v>324</v>
      </c>
      <c r="C16" s="745"/>
      <c r="D16" s="573">
        <f>COG!D84-COG!D77</f>
        <v>130204948.28999999</v>
      </c>
      <c r="E16" s="573">
        <f>COG!G84-COG!G77</f>
        <v>26471793.890000001</v>
      </c>
      <c r="F16" s="573">
        <f>COG!H84-COG!H77</f>
        <v>26471793.890000001</v>
      </c>
    </row>
    <row r="17" spans="2:6" x14ac:dyDescent="0.2">
      <c r="B17" s="742" t="s">
        <v>325</v>
      </c>
      <c r="C17" s="743"/>
      <c r="D17" s="378"/>
      <c r="E17" s="378"/>
      <c r="F17" s="378"/>
    </row>
    <row r="18" spans="2:6" ht="5.25" customHeight="1" thickBot="1" x14ac:dyDescent="0.25">
      <c r="B18" s="140"/>
      <c r="C18" s="362"/>
      <c r="D18" s="513"/>
      <c r="E18" s="513"/>
      <c r="F18" s="513"/>
    </row>
    <row r="19" spans="2:6" ht="12.75" thickBot="1" x14ac:dyDescent="0.25">
      <c r="B19" s="377" t="s">
        <v>326</v>
      </c>
      <c r="C19" s="167"/>
      <c r="D19" s="514">
        <f>+D11-D15</f>
        <v>-106803559.63</v>
      </c>
      <c r="E19" s="514">
        <f>+E11-E15</f>
        <v>3170063.0799999982</v>
      </c>
      <c r="F19" s="514">
        <f>+F11-F15</f>
        <v>-2870612.9800000004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660" t="s">
        <v>93</v>
      </c>
      <c r="C21" s="660"/>
      <c r="D21" s="357" t="s">
        <v>218</v>
      </c>
      <c r="E21" s="357" t="s">
        <v>221</v>
      </c>
      <c r="F21" s="357" t="s">
        <v>319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746" t="s">
        <v>327</v>
      </c>
      <c r="C23" s="747"/>
      <c r="D23" s="515">
        <f>+D19</f>
        <v>-106803559.63</v>
      </c>
      <c r="E23" s="515">
        <f>+E19</f>
        <v>3170063.0799999982</v>
      </c>
      <c r="F23" s="515">
        <f>+F19</f>
        <v>-2870612.9800000004</v>
      </c>
    </row>
    <row r="24" spans="2:6" ht="6" customHeight="1" x14ac:dyDescent="0.2">
      <c r="B24" s="128"/>
      <c r="C24" s="345"/>
      <c r="D24" s="513"/>
      <c r="E24" s="513"/>
      <c r="F24" s="513"/>
    </row>
    <row r="25" spans="2:6" x14ac:dyDescent="0.2">
      <c r="B25" s="746" t="s">
        <v>328</v>
      </c>
      <c r="C25" s="747"/>
      <c r="D25" s="515">
        <f>SUM(COG!D78:D80)</f>
        <v>0</v>
      </c>
      <c r="E25" s="515">
        <f>SUM(COG!G78:G80)</f>
        <v>0</v>
      </c>
      <c r="F25" s="515">
        <f>SUM(COG!H78:H80)</f>
        <v>0</v>
      </c>
    </row>
    <row r="26" spans="2:6" ht="7.5" customHeight="1" thickBot="1" x14ac:dyDescent="0.25">
      <c r="B26" s="140"/>
      <c r="C26" s="362"/>
      <c r="D26" s="513"/>
      <c r="E26" s="513"/>
      <c r="F26" s="513"/>
    </row>
    <row r="27" spans="2:6" ht="12.75" thickBot="1" x14ac:dyDescent="0.25">
      <c r="B27" s="377" t="s">
        <v>329</v>
      </c>
      <c r="C27" s="168"/>
      <c r="D27" s="516">
        <f>+D23-D25</f>
        <v>-106803559.63</v>
      </c>
      <c r="E27" s="516">
        <f>+E23-E25</f>
        <v>3170063.0799999982</v>
      </c>
      <c r="F27" s="516">
        <f>+F23-F25</f>
        <v>-2870612.9800000004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660" t="s">
        <v>93</v>
      </c>
      <c r="C29" s="660"/>
      <c r="D29" s="357" t="s">
        <v>218</v>
      </c>
      <c r="E29" s="357" t="s">
        <v>221</v>
      </c>
      <c r="F29" s="357" t="s">
        <v>319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735" t="s">
        <v>330</v>
      </c>
      <c r="C31" s="736"/>
      <c r="D31" s="515">
        <f>+EAI!E54</f>
        <v>0</v>
      </c>
      <c r="E31" s="515">
        <f>+EAI!H54</f>
        <v>0</v>
      </c>
      <c r="F31" s="515">
        <f>+EAI!I54</f>
        <v>0</v>
      </c>
    </row>
    <row r="32" spans="2:6" ht="5.25" customHeight="1" x14ac:dyDescent="0.2">
      <c r="B32" s="128"/>
      <c r="C32" s="345"/>
      <c r="D32" s="513"/>
      <c r="E32" s="513"/>
      <c r="F32" s="513"/>
    </row>
    <row r="33" spans="2:8" x14ac:dyDescent="0.2">
      <c r="B33" s="735" t="s">
        <v>331</v>
      </c>
      <c r="C33" s="736"/>
      <c r="D33" s="515">
        <f>COG!D77</f>
        <v>0</v>
      </c>
      <c r="E33" s="515">
        <f>COG!G77</f>
        <v>0</v>
      </c>
      <c r="F33" s="515">
        <f>COG!H77</f>
        <v>0</v>
      </c>
    </row>
    <row r="34" spans="2:8" ht="3.75" customHeight="1" thickBot="1" x14ac:dyDescent="0.25">
      <c r="B34" s="141"/>
      <c r="C34" s="142"/>
      <c r="D34" s="517"/>
      <c r="E34" s="517"/>
      <c r="F34" s="517"/>
    </row>
    <row r="35" spans="2:8" ht="12.75" thickBot="1" x14ac:dyDescent="0.25">
      <c r="B35" s="735" t="s">
        <v>332</v>
      </c>
      <c r="C35" s="736"/>
      <c r="D35" s="516">
        <f>+D31-D33</f>
        <v>0</v>
      </c>
      <c r="E35" s="516">
        <f>+E31-E33</f>
        <v>0</v>
      </c>
      <c r="F35" s="516">
        <f>+F31-F33</f>
        <v>0</v>
      </c>
    </row>
    <row r="36" spans="2:8" s="21" customFormat="1" x14ac:dyDescent="0.2"/>
    <row r="37" spans="2:8" ht="23.25" customHeight="1" x14ac:dyDescent="0.2">
      <c r="B37" s="21"/>
      <c r="C37" s="738" t="s">
        <v>333</v>
      </c>
      <c r="D37" s="738"/>
      <c r="E37" s="738"/>
      <c r="F37" s="738"/>
    </row>
    <row r="38" spans="2:8" ht="21.75" customHeight="1" x14ac:dyDescent="0.2">
      <c r="B38" s="21"/>
      <c r="C38" s="738" t="s">
        <v>334</v>
      </c>
      <c r="D38" s="738"/>
      <c r="E38" s="738"/>
      <c r="F38" s="738"/>
    </row>
    <row r="39" spans="2:8" x14ac:dyDescent="0.2">
      <c r="B39" s="21"/>
      <c r="C39" s="739" t="s">
        <v>335</v>
      </c>
      <c r="D39" s="739"/>
      <c r="E39" s="739"/>
      <c r="F39" s="739"/>
    </row>
    <row r="40" spans="2:8" s="21" customFormat="1" x14ac:dyDescent="0.2"/>
    <row r="41" spans="2:8" x14ac:dyDescent="0.2">
      <c r="B41" s="737" t="s">
        <v>149</v>
      </c>
      <c r="C41" s="737"/>
      <c r="D41" s="737"/>
      <c r="E41" s="737"/>
      <c r="F41" s="737"/>
      <c r="G41" s="737"/>
      <c r="H41" s="737"/>
    </row>
    <row r="42" spans="2:8" x14ac:dyDescent="0.2">
      <c r="B42" s="359"/>
      <c r="C42" s="359"/>
      <c r="D42" s="359"/>
      <c r="E42" s="359"/>
      <c r="F42" s="359"/>
      <c r="G42" s="359"/>
      <c r="H42" s="359"/>
    </row>
    <row r="43" spans="2:8" x14ac:dyDescent="0.2">
      <c r="B43" s="359"/>
      <c r="C43" s="359"/>
      <c r="D43" s="359"/>
      <c r="E43" s="359"/>
      <c r="F43" s="359"/>
      <c r="G43" s="359"/>
      <c r="H43" s="359"/>
    </row>
    <row r="47" spans="2:8" x14ac:dyDescent="0.2">
      <c r="C47" s="1"/>
      <c r="D47" s="1"/>
      <c r="E47" s="1"/>
      <c r="F47" s="1"/>
    </row>
    <row r="48" spans="2:8" x14ac:dyDescent="0.2">
      <c r="C48" s="292"/>
      <c r="D48" s="307"/>
      <c r="E48" s="307"/>
      <c r="F48" s="307"/>
    </row>
    <row r="49" spans="3:6" x14ac:dyDescent="0.2">
      <c r="C49" s="349" t="str">
        <f>+ENTE!D10</f>
        <v xml:space="preserve">M. EN A.  GONZALO FERREIRA MARTÍNEZ </v>
      </c>
      <c r="D49" s="609" t="str">
        <f>+ENTE!D14</f>
        <v>C.P.  ELDA GRACIELA FLORES HERNÁNDEZ</v>
      </c>
      <c r="E49" s="609"/>
      <c r="F49" s="609"/>
    </row>
    <row r="50" spans="3:6" x14ac:dyDescent="0.2">
      <c r="C50" s="349" t="str">
        <f>+ENTE!D12</f>
        <v>DIRECTOR DE ADMINISTRACIÓN  Y FINANZAS</v>
      </c>
      <c r="D50" s="610" t="str">
        <f>+ENTE!D16</f>
        <v>JEFA DEL DEPARTAMENTO DE ADMINISTRACIÓN FINANCIERA</v>
      </c>
      <c r="E50" s="610"/>
      <c r="F50" s="610"/>
    </row>
  </sheetData>
  <sheetProtection algorithmName="SHA-512" hashValue="qHVaO+2ZWDGPnXxUfdlRTFOpCL1E5oVBRcY4iyabAtJR0A3HUI8er8SD8cZ5oSNl0WQToCrzHqxaF/ffW0u5gA==" saltValue="LrQ/9aDjkfbKZLYDmGBzUw==" spinCount="100000" sheet="1" objects="1" scenarios="1" selectLockedCells="1"/>
  <mergeCells count="24">
    <mergeCell ref="B21:C21"/>
    <mergeCell ref="B23:C23"/>
    <mergeCell ref="B25:C25"/>
    <mergeCell ref="B29:C29"/>
    <mergeCell ref="B17:C17"/>
    <mergeCell ref="B9:C9"/>
    <mergeCell ref="B12:C12"/>
    <mergeCell ref="B13:C13"/>
    <mergeCell ref="B16:C16"/>
    <mergeCell ref="B5:F5"/>
    <mergeCell ref="B2:F2"/>
    <mergeCell ref="B3:F3"/>
    <mergeCell ref="B4:F4"/>
    <mergeCell ref="B6:F6"/>
    <mergeCell ref="C7:F7"/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&amp;C&amp;A&amp;RPágina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view="pageBreakPreview" zoomScale="106" zoomScaleNormal="10" zoomScaleSheetLayoutView="106" workbookViewId="0">
      <selection activeCell="D19" sqref="D19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02"/>
      <c r="C2" s="602"/>
      <c r="D2" s="602"/>
      <c r="E2" s="602"/>
      <c r="F2" s="602"/>
      <c r="G2" s="261"/>
      <c r="H2" s="253"/>
      <c r="I2" s="253"/>
      <c r="J2" s="253"/>
      <c r="K2" s="253"/>
      <c r="L2" s="253"/>
      <c r="M2" s="253"/>
    </row>
    <row r="3" spans="1:13" x14ac:dyDescent="0.2">
      <c r="B3" s="750" t="s">
        <v>636</v>
      </c>
      <c r="C3" s="750"/>
      <c r="D3" s="621"/>
      <c r="E3" s="621"/>
      <c r="F3" s="621"/>
    </row>
    <row r="4" spans="1:13" x14ac:dyDescent="0.2">
      <c r="B4" s="75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750"/>
      <c r="D4" s="621"/>
      <c r="E4" s="621"/>
      <c r="F4" s="621"/>
    </row>
    <row r="5" spans="1:13" x14ac:dyDescent="0.2">
      <c r="B5" s="751" t="s">
        <v>92</v>
      </c>
      <c r="C5" s="751"/>
      <c r="D5" s="685"/>
      <c r="E5" s="685"/>
      <c r="F5" s="685"/>
    </row>
    <row r="6" spans="1:13" x14ac:dyDescent="0.2">
      <c r="B6" s="535"/>
      <c r="C6" s="535"/>
      <c r="D6" s="23"/>
      <c r="E6" s="23"/>
      <c r="F6" s="23"/>
    </row>
    <row r="7" spans="1:13" x14ac:dyDescent="0.2">
      <c r="B7" s="353" t="s">
        <v>4</v>
      </c>
      <c r="C7" s="629" t="str">
        <f>ENTE!D8</f>
        <v xml:space="preserve">UNIVERSIDAD TECNOLÓGICA DE SAN JUAN DEL RÍO </v>
      </c>
      <c r="D7" s="629"/>
      <c r="E7" s="629"/>
      <c r="F7" s="629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402" t="s">
        <v>393</v>
      </c>
      <c r="C9" s="536"/>
      <c r="D9" s="402" t="s">
        <v>394</v>
      </c>
      <c r="E9" s="357" t="s">
        <v>221</v>
      </c>
      <c r="F9" s="403" t="s">
        <v>395</v>
      </c>
      <c r="G9" s="200"/>
    </row>
    <row r="10" spans="1:13" s="207" customFormat="1" x14ac:dyDescent="0.2">
      <c r="A10" s="200"/>
      <c r="B10" s="537"/>
      <c r="C10" s="538"/>
      <c r="D10" s="491"/>
      <c r="E10" s="530"/>
      <c r="F10" s="486"/>
      <c r="G10" s="200"/>
    </row>
    <row r="11" spans="1:13" s="207" customFormat="1" x14ac:dyDescent="0.2">
      <c r="A11" s="200"/>
      <c r="B11" s="539" t="s">
        <v>396</v>
      </c>
      <c r="C11" s="538"/>
      <c r="D11" s="482">
        <f>+D12+D13+D14</f>
        <v>130204948.28999999</v>
      </c>
      <c r="E11" s="484">
        <f>+E12+E13+E14</f>
        <v>166248049.06</v>
      </c>
      <c r="F11" s="485">
        <f>+F12+F13+F14</f>
        <v>138994957.66</v>
      </c>
      <c r="G11" s="200"/>
    </row>
    <row r="12" spans="1:13" x14ac:dyDescent="0.2">
      <c r="B12" s="491" t="s">
        <v>397</v>
      </c>
      <c r="C12" s="492"/>
      <c r="D12" s="575">
        <f>EAID!D46</f>
        <v>130204948.28999999</v>
      </c>
      <c r="E12" s="576">
        <f>EAID!G46</f>
        <v>166248049.06</v>
      </c>
      <c r="F12" s="577">
        <f>EAID!H46</f>
        <v>138994957.66</v>
      </c>
    </row>
    <row r="13" spans="1:13" ht="12" customHeight="1" x14ac:dyDescent="0.2">
      <c r="B13" s="487" t="s">
        <v>398</v>
      </c>
      <c r="C13" s="488"/>
      <c r="D13" s="578">
        <f>EAID!D70</f>
        <v>0</v>
      </c>
      <c r="E13" s="579">
        <f>EAID!G70</f>
        <v>0</v>
      </c>
      <c r="F13" s="580">
        <f>EAID!H70</f>
        <v>0</v>
      </c>
    </row>
    <row r="14" spans="1:13" x14ac:dyDescent="0.2">
      <c r="B14" s="540" t="s">
        <v>399</v>
      </c>
      <c r="C14" s="541"/>
      <c r="D14" s="491">
        <f>EAID!D72</f>
        <v>0</v>
      </c>
      <c r="E14" s="506">
        <f>EAID!G72</f>
        <v>0</v>
      </c>
      <c r="F14" s="507">
        <f>EAID!H72</f>
        <v>0</v>
      </c>
    </row>
    <row r="15" spans="1:13" x14ac:dyDescent="0.2">
      <c r="B15" s="539" t="s">
        <v>400</v>
      </c>
      <c r="C15" s="538"/>
      <c r="D15" s="489">
        <f>+D16+D17</f>
        <v>130204948.28999999</v>
      </c>
      <c r="E15" s="497">
        <f>+E16+E17</f>
        <v>26471793.890000001</v>
      </c>
      <c r="F15" s="498">
        <f>+F16+F17</f>
        <v>26471793.890000001</v>
      </c>
    </row>
    <row r="16" spans="1:13" x14ac:dyDescent="0.2">
      <c r="B16" s="491" t="s">
        <v>401</v>
      </c>
      <c r="C16" s="492"/>
      <c r="D16" s="581">
        <f>COGCC!D13-COGCC!D79</f>
        <v>130204948.28999999</v>
      </c>
      <c r="E16" s="582">
        <f>COGCC!G13-COGCC!G79</f>
        <v>26457293.890000001</v>
      </c>
      <c r="F16" s="583">
        <f>COGCC!H13-COGCC!H79</f>
        <v>26457293.890000001</v>
      </c>
    </row>
    <row r="17" spans="1:7" x14ac:dyDescent="0.2">
      <c r="B17" s="696" t="s">
        <v>402</v>
      </c>
      <c r="C17" s="697"/>
      <c r="D17" s="581">
        <f>COGCC!D102-COGCC!D168</f>
        <v>0</v>
      </c>
      <c r="E17" s="582">
        <f>COGCC!G102-COGCC!G168</f>
        <v>14500</v>
      </c>
      <c r="F17" s="583">
        <f>COGCC!H102-COGCC!H168</f>
        <v>14500</v>
      </c>
    </row>
    <row r="18" spans="1:7" x14ac:dyDescent="0.2">
      <c r="B18" s="539" t="s">
        <v>403</v>
      </c>
      <c r="C18" s="538"/>
      <c r="D18" s="489">
        <f>+D19+D20</f>
        <v>0</v>
      </c>
      <c r="E18" s="497">
        <f>+E19+E20</f>
        <v>0</v>
      </c>
      <c r="F18" s="498">
        <f>+F19+F20</f>
        <v>0</v>
      </c>
    </row>
    <row r="19" spans="1:7" x14ac:dyDescent="0.2">
      <c r="B19" s="220" t="s">
        <v>404</v>
      </c>
      <c r="C19" s="232"/>
      <c r="D19" s="337"/>
      <c r="E19" s="338"/>
      <c r="F19" s="339"/>
    </row>
    <row r="20" spans="1:7" ht="25.5" customHeight="1" x14ac:dyDescent="0.2">
      <c r="B20" s="752" t="s">
        <v>405</v>
      </c>
      <c r="C20" s="753"/>
      <c r="D20" s="331"/>
      <c r="E20" s="332"/>
      <c r="F20" s="336"/>
    </row>
    <row r="21" spans="1:7" x14ac:dyDescent="0.2">
      <c r="B21" s="257"/>
      <c r="C21" s="258"/>
      <c r="D21" s="491"/>
      <c r="E21" s="506"/>
      <c r="F21" s="486"/>
    </row>
    <row r="22" spans="1:7" x14ac:dyDescent="0.2">
      <c r="B22" s="256" t="s">
        <v>406</v>
      </c>
      <c r="C22" s="263"/>
      <c r="D22" s="489">
        <f>+D11-D15+D18</f>
        <v>0</v>
      </c>
      <c r="E22" s="497">
        <f>+E11-E15+E18</f>
        <v>139776255.17000002</v>
      </c>
      <c r="F22" s="498">
        <f>+F11-F15+F18</f>
        <v>112523163.77</v>
      </c>
    </row>
    <row r="23" spans="1:7" x14ac:dyDescent="0.2">
      <c r="B23" s="256" t="s">
        <v>407</v>
      </c>
      <c r="C23" s="263"/>
      <c r="D23" s="489">
        <f>+D22-D14</f>
        <v>0</v>
      </c>
      <c r="E23" s="497">
        <f>+E22-E14</f>
        <v>139776255.17000002</v>
      </c>
      <c r="F23" s="498">
        <f>+F22-F14</f>
        <v>112523163.77</v>
      </c>
    </row>
    <row r="24" spans="1:7" x14ac:dyDescent="0.2">
      <c r="B24" s="256" t="s">
        <v>408</v>
      </c>
      <c r="C24" s="263"/>
      <c r="D24" s="489">
        <f>+D23-D18</f>
        <v>0</v>
      </c>
      <c r="E24" s="497">
        <f>+E23-E18</f>
        <v>139776255.17000002</v>
      </c>
      <c r="F24" s="498">
        <f>+F23-F18</f>
        <v>112523163.77</v>
      </c>
    </row>
    <row r="25" spans="1:7" x14ac:dyDescent="0.2">
      <c r="B25" s="257"/>
      <c r="C25" s="258"/>
      <c r="D25" s="491"/>
      <c r="E25" s="506"/>
      <c r="F25" s="486"/>
    </row>
    <row r="26" spans="1:7" x14ac:dyDescent="0.2">
      <c r="B26" s="244" t="s">
        <v>393</v>
      </c>
      <c r="C26" s="245"/>
      <c r="D26" s="520" t="s">
        <v>394</v>
      </c>
      <c r="E26" s="521" t="s">
        <v>221</v>
      </c>
      <c r="F26" s="522" t="s">
        <v>395</v>
      </c>
    </row>
    <row r="27" spans="1:7" x14ac:dyDescent="0.2">
      <c r="B27" s="254"/>
      <c r="C27" s="259"/>
      <c r="D27" s="491"/>
      <c r="E27" s="506"/>
      <c r="F27" s="486"/>
    </row>
    <row r="28" spans="1:7" x14ac:dyDescent="0.2">
      <c r="B28" s="256" t="s">
        <v>409</v>
      </c>
      <c r="C28" s="263"/>
      <c r="D28" s="489">
        <f>+D29+D30</f>
        <v>0</v>
      </c>
      <c r="E28" s="497">
        <f>+E29+E30</f>
        <v>0</v>
      </c>
      <c r="F28" s="498">
        <f>+F29+F30</f>
        <v>0</v>
      </c>
    </row>
    <row r="29" spans="1:7" x14ac:dyDescent="0.2">
      <c r="B29" s="220" t="s">
        <v>410</v>
      </c>
      <c r="C29" s="232"/>
      <c r="D29" s="491">
        <f>SUM(COGCC!D80:D82)</f>
        <v>0</v>
      </c>
      <c r="E29" s="506">
        <f>SUM(COGCC!G80:G82)</f>
        <v>0</v>
      </c>
      <c r="F29" s="507">
        <f>SUM(COGCC!H80:H82)</f>
        <v>0</v>
      </c>
    </row>
    <row r="30" spans="1:7" x14ac:dyDescent="0.2">
      <c r="B30" s="752" t="s">
        <v>411</v>
      </c>
      <c r="C30" s="753"/>
      <c r="D30" s="491">
        <f>SUM(COGCC!D169:D171)</f>
        <v>0</v>
      </c>
      <c r="E30" s="506">
        <f>SUM(COGCC!G169:G171)</f>
        <v>0</v>
      </c>
      <c r="F30" s="507">
        <f>SUM(COGCC!H169:H171)</f>
        <v>0</v>
      </c>
    </row>
    <row r="31" spans="1:7" x14ac:dyDescent="0.2">
      <c r="B31" s="257"/>
      <c r="C31" s="258"/>
      <c r="D31" s="491"/>
      <c r="E31" s="506"/>
      <c r="F31" s="507"/>
    </row>
    <row r="32" spans="1:7" s="211" customFormat="1" x14ac:dyDescent="0.2">
      <c r="A32" s="210"/>
      <c r="B32" s="348" t="s">
        <v>412</v>
      </c>
      <c r="C32" s="227"/>
      <c r="D32" s="532">
        <f>+D24+D28</f>
        <v>0</v>
      </c>
      <c r="E32" s="533">
        <f>+E24+E28</f>
        <v>139776255.17000002</v>
      </c>
      <c r="F32" s="534">
        <f>+F24+F28</f>
        <v>112523163.77</v>
      </c>
      <c r="G32" s="210"/>
    </row>
    <row r="33" spans="1:7" x14ac:dyDescent="0.2">
      <c r="B33" s="257"/>
      <c r="C33" s="258"/>
      <c r="D33" s="491"/>
      <c r="E33" s="506"/>
      <c r="F33" s="507"/>
    </row>
    <row r="34" spans="1:7" x14ac:dyDescent="0.2">
      <c r="B34" s="244" t="s">
        <v>393</v>
      </c>
      <c r="C34" s="245"/>
      <c r="D34" s="520" t="s">
        <v>394</v>
      </c>
      <c r="E34" s="521" t="s">
        <v>221</v>
      </c>
      <c r="F34" s="522" t="s">
        <v>395</v>
      </c>
    </row>
    <row r="35" spans="1:7" x14ac:dyDescent="0.2">
      <c r="B35" s="257"/>
      <c r="C35" s="258"/>
      <c r="D35" s="491"/>
      <c r="E35" s="506"/>
      <c r="F35" s="507"/>
    </row>
    <row r="36" spans="1:7" x14ac:dyDescent="0.2">
      <c r="B36" s="256" t="s">
        <v>413</v>
      </c>
      <c r="C36" s="263"/>
      <c r="D36" s="532">
        <f>+D37+D38</f>
        <v>0</v>
      </c>
      <c r="E36" s="533">
        <f>+E37+E38</f>
        <v>0</v>
      </c>
      <c r="F36" s="534">
        <f>+F37+F38</f>
        <v>0</v>
      </c>
    </row>
    <row r="37" spans="1:7" x14ac:dyDescent="0.2">
      <c r="B37" s="220" t="s">
        <v>414</v>
      </c>
      <c r="C37" s="232"/>
      <c r="D37" s="340"/>
      <c r="E37" s="341"/>
      <c r="F37" s="339"/>
    </row>
    <row r="38" spans="1:7" ht="24" customHeight="1" x14ac:dyDescent="0.2">
      <c r="B38" s="752" t="s">
        <v>415</v>
      </c>
      <c r="C38" s="753"/>
      <c r="D38" s="331"/>
      <c r="E38" s="332"/>
      <c r="F38" s="336"/>
    </row>
    <row r="39" spans="1:7" x14ac:dyDescent="0.2">
      <c r="B39" s="256" t="s">
        <v>416</v>
      </c>
      <c r="C39" s="263"/>
      <c r="D39" s="489">
        <f>+D40+D41</f>
        <v>0</v>
      </c>
      <c r="E39" s="497">
        <f>+E40+E41</f>
        <v>0</v>
      </c>
      <c r="F39" s="498">
        <f>+F40+F41</f>
        <v>0</v>
      </c>
    </row>
    <row r="40" spans="1:7" x14ac:dyDescent="0.2">
      <c r="B40" s="220" t="s">
        <v>417</v>
      </c>
      <c r="C40" s="232"/>
      <c r="D40" s="518">
        <f>COGCC!D79</f>
        <v>0</v>
      </c>
      <c r="E40" s="519">
        <f>COGCC!G79</f>
        <v>0</v>
      </c>
      <c r="F40" s="507">
        <f>COGCC!H79</f>
        <v>0</v>
      </c>
    </row>
    <row r="41" spans="1:7" ht="24" x14ac:dyDescent="0.2">
      <c r="B41" s="347" t="s">
        <v>418</v>
      </c>
      <c r="C41" s="222"/>
      <c r="D41" s="491">
        <f>COGCC!D168</f>
        <v>0</v>
      </c>
      <c r="E41" s="506">
        <f>COGCC!G168</f>
        <v>0</v>
      </c>
      <c r="F41" s="486">
        <f>COGCC!H168</f>
        <v>0</v>
      </c>
    </row>
    <row r="42" spans="1:7" x14ac:dyDescent="0.2">
      <c r="B42" s="220"/>
      <c r="C42" s="232"/>
      <c r="D42" s="491"/>
      <c r="E42" s="506"/>
      <c r="F42" s="507"/>
    </row>
    <row r="43" spans="1:7" x14ac:dyDescent="0.2">
      <c r="B43" s="256" t="s">
        <v>419</v>
      </c>
      <c r="C43" s="263"/>
      <c r="D43" s="489">
        <f>+D36-D39</f>
        <v>0</v>
      </c>
      <c r="E43" s="497">
        <f>+E36-E39</f>
        <v>0</v>
      </c>
      <c r="F43" s="498">
        <f>+F36-F39</f>
        <v>0</v>
      </c>
    </row>
    <row r="44" spans="1:7" x14ac:dyDescent="0.2">
      <c r="B44" s="257"/>
      <c r="C44" s="258"/>
      <c r="D44" s="491"/>
      <c r="E44" s="506"/>
      <c r="F44" s="507"/>
    </row>
    <row r="45" spans="1:7" x14ac:dyDescent="0.2">
      <c r="B45" s="244" t="s">
        <v>393</v>
      </c>
      <c r="C45" s="245"/>
      <c r="D45" s="520" t="s">
        <v>394</v>
      </c>
      <c r="E45" s="521" t="s">
        <v>221</v>
      </c>
      <c r="F45" s="522" t="s">
        <v>395</v>
      </c>
    </row>
    <row r="46" spans="1:7" x14ac:dyDescent="0.2">
      <c r="B46" s="257"/>
      <c r="C46" s="258"/>
      <c r="D46" s="491"/>
      <c r="E46" s="506"/>
      <c r="F46" s="507"/>
    </row>
    <row r="47" spans="1:7" s="207" customFormat="1" x14ac:dyDescent="0.2">
      <c r="A47" s="200"/>
      <c r="B47" s="257" t="s">
        <v>420</v>
      </c>
      <c r="C47" s="258"/>
      <c r="D47" s="518">
        <f>D12</f>
        <v>130204948.28999999</v>
      </c>
      <c r="E47" s="519">
        <f>E12</f>
        <v>166248049.06</v>
      </c>
      <c r="F47" s="523">
        <f>F12</f>
        <v>138994957.66</v>
      </c>
      <c r="G47" s="200"/>
    </row>
    <row r="48" spans="1:7" s="207" customFormat="1" ht="24.75" customHeight="1" x14ac:dyDescent="0.2">
      <c r="A48" s="200"/>
      <c r="B48" s="754" t="s">
        <v>421</v>
      </c>
      <c r="C48" s="755"/>
      <c r="D48" s="518">
        <f>+D49-D50</f>
        <v>0</v>
      </c>
      <c r="E48" s="519">
        <f>+E49-E50</f>
        <v>0</v>
      </c>
      <c r="F48" s="524">
        <f>+F49-F50</f>
        <v>0</v>
      </c>
      <c r="G48" s="200"/>
    </row>
    <row r="49" spans="1:7" s="207" customFormat="1" x14ac:dyDescent="0.2">
      <c r="A49" s="200" t="s">
        <v>422</v>
      </c>
      <c r="B49" s="257" t="s">
        <v>414</v>
      </c>
      <c r="C49" s="258"/>
      <c r="D49" s="518">
        <f>D37</f>
        <v>0</v>
      </c>
      <c r="E49" s="519">
        <f>E37</f>
        <v>0</v>
      </c>
      <c r="F49" s="523">
        <f>F37</f>
        <v>0</v>
      </c>
      <c r="G49" s="200"/>
    </row>
    <row r="50" spans="1:7" x14ac:dyDescent="0.2">
      <c r="B50" s="257" t="s">
        <v>417</v>
      </c>
      <c r="C50" s="258"/>
      <c r="D50" s="491">
        <f>D40</f>
        <v>0</v>
      </c>
      <c r="E50" s="519">
        <f>E40</f>
        <v>0</v>
      </c>
      <c r="F50" s="519">
        <f>F40</f>
        <v>0</v>
      </c>
    </row>
    <row r="51" spans="1:7" x14ac:dyDescent="0.2">
      <c r="B51" s="257" t="s">
        <v>423</v>
      </c>
      <c r="C51" s="258"/>
      <c r="D51" s="491">
        <f>D16</f>
        <v>130204948.28999999</v>
      </c>
      <c r="E51" s="519">
        <f>E16</f>
        <v>26457293.890000001</v>
      </c>
      <c r="F51" s="519">
        <f>F16</f>
        <v>26457293.890000001</v>
      </c>
    </row>
    <row r="52" spans="1:7" x14ac:dyDescent="0.2">
      <c r="B52" s="257" t="s">
        <v>424</v>
      </c>
      <c r="C52" s="258"/>
      <c r="D52" s="491">
        <f>D19</f>
        <v>0</v>
      </c>
      <c r="E52" s="519">
        <f>E19</f>
        <v>0</v>
      </c>
      <c r="F52" s="519">
        <f>F19</f>
        <v>0</v>
      </c>
    </row>
    <row r="53" spans="1:7" x14ac:dyDescent="0.2">
      <c r="B53" s="257"/>
      <c r="C53" s="258"/>
      <c r="D53" s="491"/>
      <c r="E53" s="506"/>
      <c r="F53" s="507"/>
    </row>
    <row r="54" spans="1:7" x14ac:dyDescent="0.2">
      <c r="B54" s="256" t="s">
        <v>425</v>
      </c>
      <c r="C54" s="263"/>
      <c r="D54" s="489">
        <f>+D47+D48-D51+D52</f>
        <v>0</v>
      </c>
      <c r="E54" s="497">
        <f>+E47+E48-E51+E52</f>
        <v>139790755.17000002</v>
      </c>
      <c r="F54" s="498">
        <f>+F47+F48-F51+F52</f>
        <v>112537663.77</v>
      </c>
    </row>
    <row r="55" spans="1:7" x14ac:dyDescent="0.2">
      <c r="B55" s="255" t="s">
        <v>426</v>
      </c>
      <c r="C55" s="262"/>
      <c r="D55" s="501">
        <f>+D54-D48</f>
        <v>0</v>
      </c>
      <c r="E55" s="525">
        <f>+E54-E48</f>
        <v>139790755.17000002</v>
      </c>
      <c r="F55" s="526">
        <f>+F54-F48</f>
        <v>112537663.77</v>
      </c>
    </row>
    <row r="56" spans="1:7" x14ac:dyDescent="0.2">
      <c r="B56" s="244" t="s">
        <v>393</v>
      </c>
      <c r="C56" s="245"/>
      <c r="D56" s="520" t="s">
        <v>394</v>
      </c>
      <c r="E56" s="521" t="s">
        <v>221</v>
      </c>
      <c r="F56" s="522" t="s">
        <v>395</v>
      </c>
    </row>
    <row r="57" spans="1:7" x14ac:dyDescent="0.2">
      <c r="B57" s="266"/>
      <c r="C57" s="267"/>
      <c r="D57" s="527"/>
      <c r="E57" s="528"/>
      <c r="F57" s="529"/>
    </row>
    <row r="58" spans="1:7" x14ac:dyDescent="0.2">
      <c r="B58" s="257"/>
      <c r="C58" s="258"/>
      <c r="D58" s="491"/>
      <c r="E58" s="506"/>
      <c r="F58" s="507"/>
    </row>
    <row r="59" spans="1:7" x14ac:dyDescent="0.2">
      <c r="B59" s="347" t="s">
        <v>427</v>
      </c>
      <c r="C59" s="222"/>
      <c r="D59" s="491">
        <f>D13</f>
        <v>0</v>
      </c>
      <c r="E59" s="491">
        <f>E13</f>
        <v>0</v>
      </c>
      <c r="F59" s="506">
        <f>F13</f>
        <v>0</v>
      </c>
    </row>
    <row r="60" spans="1:7" ht="25.5" customHeight="1" x14ac:dyDescent="0.2">
      <c r="B60" s="754" t="s">
        <v>428</v>
      </c>
      <c r="C60" s="755"/>
      <c r="D60" s="491">
        <f>D61-D62</f>
        <v>0</v>
      </c>
      <c r="E60" s="491">
        <f>E61-E62</f>
        <v>0</v>
      </c>
      <c r="F60" s="506">
        <f>F61-F62</f>
        <v>0</v>
      </c>
    </row>
    <row r="61" spans="1:7" ht="24.75" customHeight="1" x14ac:dyDescent="0.2">
      <c r="B61" s="754" t="s">
        <v>415</v>
      </c>
      <c r="C61" s="755"/>
      <c r="D61" s="491">
        <f>D38</f>
        <v>0</v>
      </c>
      <c r="E61" s="491">
        <f>E38</f>
        <v>0</v>
      </c>
      <c r="F61" s="519">
        <f>F38</f>
        <v>0</v>
      </c>
    </row>
    <row r="62" spans="1:7" x14ac:dyDescent="0.2">
      <c r="B62" s="752" t="s">
        <v>418</v>
      </c>
      <c r="C62" s="753"/>
      <c r="D62" s="518">
        <f>D41</f>
        <v>0</v>
      </c>
      <c r="E62" s="519">
        <f>E41</f>
        <v>0</v>
      </c>
      <c r="F62" s="486">
        <f>F41</f>
        <v>0</v>
      </c>
    </row>
    <row r="63" spans="1:7" x14ac:dyDescent="0.2">
      <c r="B63" s="220"/>
      <c r="C63" s="232"/>
      <c r="D63" s="491"/>
      <c r="E63" s="506"/>
      <c r="F63" s="486"/>
    </row>
    <row r="64" spans="1:7" x14ac:dyDescent="0.2">
      <c r="B64" s="257" t="s">
        <v>429</v>
      </c>
      <c r="C64" s="258"/>
      <c r="D64" s="491">
        <f>D17</f>
        <v>0</v>
      </c>
      <c r="E64" s="506">
        <f>E17</f>
        <v>14500</v>
      </c>
      <c r="F64" s="507">
        <f>F17</f>
        <v>14500</v>
      </c>
    </row>
    <row r="65" spans="2:8" x14ac:dyDescent="0.2">
      <c r="B65" s="257"/>
      <c r="C65" s="258"/>
      <c r="D65" s="487"/>
      <c r="E65" s="530"/>
      <c r="F65" s="486"/>
    </row>
    <row r="66" spans="2:8" x14ac:dyDescent="0.2">
      <c r="B66" s="257" t="s">
        <v>430</v>
      </c>
      <c r="C66" s="258"/>
      <c r="D66" s="491">
        <f>D20</f>
        <v>0</v>
      </c>
      <c r="E66" s="491">
        <f>E20</f>
        <v>0</v>
      </c>
      <c r="F66" s="506">
        <f>F20</f>
        <v>0</v>
      </c>
    </row>
    <row r="67" spans="2:8" x14ac:dyDescent="0.2">
      <c r="B67" s="254"/>
      <c r="C67" s="259"/>
      <c r="D67" s="491"/>
      <c r="E67" s="506"/>
      <c r="F67" s="507"/>
    </row>
    <row r="68" spans="2:8" x14ac:dyDescent="0.2">
      <c r="B68" s="256" t="s">
        <v>431</v>
      </c>
      <c r="C68" s="263"/>
      <c r="D68" s="489">
        <f>+D59+D60-D64+D66</f>
        <v>0</v>
      </c>
      <c r="E68" s="497">
        <f>+E59+E60-E64+E66</f>
        <v>-14500</v>
      </c>
      <c r="F68" s="498">
        <f>+F59+F60-F64+F66</f>
        <v>-14500</v>
      </c>
    </row>
    <row r="69" spans="2:8" x14ac:dyDescent="0.2">
      <c r="B69" s="256" t="s">
        <v>432</v>
      </c>
      <c r="C69" s="263"/>
      <c r="D69" s="489">
        <f>+D68-D60</f>
        <v>0</v>
      </c>
      <c r="E69" s="497">
        <f>+E68-E60</f>
        <v>-14500</v>
      </c>
      <c r="F69" s="498">
        <f>+F68-F60</f>
        <v>-14500</v>
      </c>
    </row>
    <row r="70" spans="2:8" x14ac:dyDescent="0.2">
      <c r="B70" s="242"/>
      <c r="C70" s="243"/>
      <c r="D70" s="503"/>
      <c r="E70" s="504"/>
      <c r="F70" s="531"/>
    </row>
    <row r="71" spans="2:8" x14ac:dyDescent="0.2">
      <c r="B71" s="613" t="s">
        <v>149</v>
      </c>
      <c r="C71" s="613"/>
      <c r="D71" s="613"/>
      <c r="E71" s="613"/>
      <c r="F71" s="613"/>
      <c r="G71" s="613"/>
      <c r="H71" s="613"/>
    </row>
    <row r="72" spans="2:8" x14ac:dyDescent="0.2">
      <c r="B72" s="613"/>
      <c r="C72" s="613"/>
      <c r="D72" s="613"/>
      <c r="E72" s="613"/>
      <c r="F72" s="613"/>
      <c r="G72" s="613"/>
      <c r="H72" s="613"/>
    </row>
    <row r="73" spans="2:8" x14ac:dyDescent="0.2">
      <c r="B73" s="613"/>
      <c r="C73" s="613"/>
      <c r="D73" s="613"/>
      <c r="E73" s="613"/>
      <c r="F73" s="613"/>
      <c r="G73" s="613"/>
      <c r="H73" s="613"/>
    </row>
    <row r="74" spans="2:8" x14ac:dyDescent="0.2">
      <c r="B74" s="213"/>
      <c r="C74" s="213"/>
      <c r="D74" s="201"/>
      <c r="E74" s="201"/>
      <c r="F74" s="213"/>
    </row>
    <row r="75" spans="2:8" x14ac:dyDescent="0.2">
      <c r="B75" s="213"/>
      <c r="C75" s="213"/>
      <c r="D75" s="201"/>
      <c r="E75" s="201"/>
      <c r="F75" s="213"/>
    </row>
    <row r="76" spans="2:8" x14ac:dyDescent="0.2">
      <c r="B76" s="264"/>
      <c r="C76" s="264"/>
      <c r="D76" s="260"/>
      <c r="E76" s="260"/>
      <c r="F76" s="214"/>
    </row>
    <row r="77" spans="2:8" x14ac:dyDescent="0.2">
      <c r="B77" s="279"/>
      <c r="C77" s="279"/>
      <c r="D77" s="203"/>
      <c r="E77" s="203"/>
      <c r="F77" s="279"/>
    </row>
    <row r="78" spans="2:8" x14ac:dyDescent="0.2">
      <c r="B78" s="748"/>
      <c r="C78" s="748"/>
      <c r="D78" s="203"/>
      <c r="E78" s="203"/>
      <c r="F78" s="203"/>
    </row>
    <row r="79" spans="2:8" x14ac:dyDescent="0.2">
      <c r="B79" s="749" t="str">
        <f>+ENTE!D10</f>
        <v xml:space="preserve">M. EN A.  GONZALO FERREIRA MARTÍNEZ </v>
      </c>
      <c r="C79" s="749"/>
      <c r="D79" s="621" t="str">
        <f>+ENTE!D14</f>
        <v>C.P.  ELDA GRACIELA FLORES HERNÁNDEZ</v>
      </c>
      <c r="E79" s="621"/>
      <c r="F79" s="621"/>
    </row>
    <row r="80" spans="2:8" x14ac:dyDescent="0.2">
      <c r="B80" s="749" t="str">
        <f>+ENTE!D12</f>
        <v>DIRECTOR DE ADMINISTRACIÓN  Y FINANZAS</v>
      </c>
      <c r="C80" s="749"/>
      <c r="D80" s="621" t="str">
        <f>+ENTE!D16</f>
        <v>JEFA DEL DEPARTAMENTO DE ADMINISTRACIÓN FINANCIERA</v>
      </c>
      <c r="E80" s="621"/>
      <c r="F80" s="621"/>
    </row>
    <row r="81" spans="2:6" x14ac:dyDescent="0.2">
      <c r="B81" s="279"/>
      <c r="C81" s="279"/>
      <c r="D81" s="203"/>
      <c r="E81" s="203"/>
      <c r="F81" s="203"/>
    </row>
    <row r="82" spans="2:6" x14ac:dyDescent="0.2">
      <c r="B82" s="214"/>
      <c r="C82" s="214"/>
      <c r="D82" s="214"/>
      <c r="E82" s="214"/>
      <c r="F82" s="213"/>
    </row>
    <row r="83" spans="2:6" x14ac:dyDescent="0.2">
      <c r="B83" s="260"/>
      <c r="C83" s="260"/>
      <c r="D83" s="201"/>
      <c r="E83" s="201"/>
      <c r="F83" s="214"/>
    </row>
    <row r="84" spans="2:6" x14ac:dyDescent="0.2">
      <c r="B84" s="213"/>
      <c r="C84" s="213"/>
      <c r="D84" s="201"/>
      <c r="E84" s="201"/>
      <c r="F84" s="214"/>
    </row>
    <row r="85" spans="2:6" x14ac:dyDescent="0.2">
      <c r="B85" s="213"/>
      <c r="C85" s="213"/>
      <c r="D85" s="201"/>
      <c r="E85" s="201"/>
      <c r="F85" s="201"/>
    </row>
    <row r="86" spans="2:6" x14ac:dyDescent="0.2">
      <c r="B86" s="213"/>
      <c r="C86" s="213"/>
      <c r="D86" s="201"/>
      <c r="E86" s="201"/>
      <c r="F86" s="201"/>
    </row>
    <row r="87" spans="2:6" x14ac:dyDescent="0.2">
      <c r="B87" s="213"/>
      <c r="C87" s="213"/>
      <c r="D87" s="201"/>
      <c r="E87" s="201"/>
      <c r="F87" s="201"/>
    </row>
    <row r="88" spans="2:6" x14ac:dyDescent="0.2">
      <c r="B88" s="214"/>
      <c r="C88" s="214"/>
      <c r="D88" s="260"/>
      <c r="E88" s="260"/>
      <c r="F88" s="260"/>
    </row>
    <row r="89" spans="2:6" x14ac:dyDescent="0.2">
      <c r="B89" s="213"/>
      <c r="C89" s="213"/>
      <c r="D89" s="201"/>
      <c r="E89" s="201"/>
      <c r="F89" s="213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13"/>
    </row>
    <row r="94" spans="2:6" x14ac:dyDescent="0.2">
      <c r="B94" s="214"/>
      <c r="C94" s="214"/>
      <c r="D94" s="260"/>
      <c r="E94" s="260"/>
      <c r="F94" s="201"/>
    </row>
    <row r="95" spans="2:6" x14ac:dyDescent="0.2">
      <c r="B95" s="214"/>
      <c r="C95" s="214"/>
      <c r="D95" s="260"/>
      <c r="E95" s="260"/>
      <c r="F95" s="264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3"/>
      <c r="C100" s="213"/>
      <c r="D100" s="201"/>
      <c r="E100" s="201"/>
      <c r="F100" s="201"/>
    </row>
    <row r="101" spans="2:6" x14ac:dyDescent="0.2">
      <c r="B101" s="213"/>
      <c r="C101" s="213"/>
      <c r="D101" s="201"/>
      <c r="E101" s="201"/>
      <c r="F101" s="201"/>
    </row>
    <row r="102" spans="2:6" x14ac:dyDescent="0.2">
      <c r="B102" s="213"/>
      <c r="C102" s="213"/>
      <c r="D102" s="201"/>
      <c r="E102" s="201"/>
      <c r="F102" s="201"/>
    </row>
    <row r="103" spans="2:6" x14ac:dyDescent="0.2">
      <c r="B103" s="213"/>
      <c r="C103" s="213"/>
      <c r="D103" s="201"/>
      <c r="E103" s="201"/>
      <c r="F103" s="201"/>
    </row>
    <row r="104" spans="2:6" x14ac:dyDescent="0.2">
      <c r="B104" s="213"/>
      <c r="C104" s="213"/>
      <c r="D104" s="201"/>
      <c r="E104" s="201"/>
      <c r="F104" s="201"/>
    </row>
    <row r="105" spans="2:6" x14ac:dyDescent="0.2">
      <c r="B105" s="213"/>
      <c r="C105" s="213"/>
      <c r="D105" s="201"/>
      <c r="E105" s="201"/>
      <c r="F105" s="201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4"/>
      <c r="C108" s="214"/>
      <c r="D108" s="260"/>
      <c r="E108" s="260"/>
      <c r="F108" s="201"/>
    </row>
    <row r="109" spans="2:6" x14ac:dyDescent="0.2">
      <c r="B109" s="214"/>
      <c r="C109" s="214"/>
      <c r="D109" s="260"/>
      <c r="E109" s="260"/>
      <c r="F109" s="201"/>
    </row>
    <row r="110" spans="2:6" x14ac:dyDescent="0.2">
      <c r="B110" s="213"/>
      <c r="C110" s="213"/>
      <c r="D110" s="201"/>
      <c r="E110" s="201"/>
      <c r="F110" s="214"/>
    </row>
    <row r="111" spans="2:6" x14ac:dyDescent="0.2">
      <c r="B111" s="213"/>
      <c r="C111" s="213"/>
      <c r="D111" s="201"/>
      <c r="E111" s="201"/>
      <c r="F111" s="214"/>
    </row>
    <row r="112" spans="2:6" x14ac:dyDescent="0.2">
      <c r="B112" s="213"/>
      <c r="C112" s="213"/>
      <c r="D112" s="201"/>
      <c r="E112" s="201"/>
      <c r="F112" s="214"/>
    </row>
    <row r="113" spans="2:6" x14ac:dyDescent="0.2">
      <c r="B113" s="213"/>
      <c r="C113" s="213"/>
      <c r="D113" s="201"/>
      <c r="E113" s="201"/>
      <c r="F113" s="214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3"/>
      <c r="C116" s="213"/>
      <c r="D116" s="201"/>
      <c r="E116" s="201"/>
      <c r="F116" s="201"/>
    </row>
    <row r="117" spans="2:6" x14ac:dyDescent="0.2">
      <c r="B117" s="213"/>
      <c r="C117" s="213"/>
      <c r="D117" s="201"/>
      <c r="E117" s="201"/>
      <c r="F117" s="201"/>
    </row>
    <row r="118" spans="2:6" x14ac:dyDescent="0.2">
      <c r="B118" s="213"/>
      <c r="C118" s="213"/>
      <c r="D118" s="201"/>
      <c r="E118" s="201"/>
      <c r="F118" s="201"/>
    </row>
    <row r="119" spans="2:6" x14ac:dyDescent="0.2">
      <c r="B119" s="213"/>
      <c r="C119" s="213"/>
      <c r="D119" s="201"/>
      <c r="E119" s="201"/>
      <c r="F119" s="201"/>
    </row>
    <row r="120" spans="2:6" x14ac:dyDescent="0.2">
      <c r="B120" s="213"/>
      <c r="C120" s="213"/>
      <c r="D120" s="201"/>
      <c r="E120" s="201"/>
      <c r="F120" s="201"/>
    </row>
    <row r="121" spans="2:6" x14ac:dyDescent="0.2">
      <c r="B121" s="213"/>
      <c r="C121" s="213"/>
      <c r="D121" s="201"/>
      <c r="E121" s="201"/>
      <c r="F121" s="201"/>
    </row>
    <row r="122" spans="2:6" x14ac:dyDescent="0.2">
      <c r="B122" s="213"/>
      <c r="C122" s="213"/>
      <c r="D122" s="201"/>
      <c r="E122" s="201"/>
      <c r="F122" s="201"/>
    </row>
    <row r="123" spans="2:6" x14ac:dyDescent="0.2">
      <c r="B123" s="213"/>
      <c r="C123" s="213"/>
      <c r="D123" s="201"/>
      <c r="E123" s="201"/>
      <c r="F123" s="201"/>
    </row>
    <row r="124" spans="2:6" x14ac:dyDescent="0.2">
      <c r="B124" s="211"/>
      <c r="C124" s="211"/>
    </row>
    <row r="125" spans="2:6" x14ac:dyDescent="0.2">
      <c r="B125" s="211"/>
      <c r="C125" s="211"/>
    </row>
  </sheetData>
  <sheetProtection algorithmName="SHA-512" hashValue="bNJRHbwke0lb19cQCxjuaAPn8PYJFIlTZYKIIMpVpRQWuwM9raZWDznHEFoii3XsO6CBaei526EpkBGaLgXs2g==" saltValue="PjqBIaosj0yskbeXB9iY9g==" spinCount="100000" sheet="1" objects="1" scenarios="1" selectLockedCells="1"/>
  <mergeCells count="21"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  <mergeCell ref="B73:H73"/>
    <mergeCell ref="B78:C78"/>
    <mergeCell ref="B79:C79"/>
    <mergeCell ref="B80:C80"/>
    <mergeCell ref="D80:F80"/>
    <mergeCell ref="D79:F79"/>
  </mergeCells>
  <printOptions horizontalCentered="1" verticalCentered="1"/>
  <pageMargins left="0.11811023622047245" right="0.11811023622047245" top="0.35433070866141736" bottom="0.55118110236220474" header="0" footer="0"/>
  <pageSetup scale="72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topLeftCell="D24" zoomScale="98" zoomScaleNormal="70" zoomScaleSheetLayoutView="98" workbookViewId="0">
      <selection activeCell="E28" sqref="E28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02"/>
      <c r="C2" s="602"/>
      <c r="D2" s="602"/>
      <c r="E2" s="602"/>
      <c r="F2" s="602"/>
      <c r="G2" s="602"/>
      <c r="H2" s="602"/>
      <c r="I2" s="602"/>
    </row>
    <row r="3" spans="1:10" x14ac:dyDescent="0.2">
      <c r="B3" s="621" t="s">
        <v>638</v>
      </c>
      <c r="C3" s="621"/>
      <c r="D3" s="621"/>
      <c r="E3" s="621"/>
      <c r="F3" s="621"/>
      <c r="G3" s="621"/>
      <c r="H3" s="621"/>
      <c r="I3" s="621"/>
    </row>
    <row r="4" spans="1:10" x14ac:dyDescent="0.2">
      <c r="B4" s="621" t="s">
        <v>642</v>
      </c>
      <c r="C4" s="621"/>
      <c r="D4" s="621"/>
      <c r="E4" s="621"/>
      <c r="F4" s="621"/>
      <c r="G4" s="621"/>
      <c r="H4" s="621"/>
      <c r="I4" s="621"/>
    </row>
    <row r="5" spans="1:10" x14ac:dyDescent="0.2">
      <c r="B5" s="621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1"/>
      <c r="D5" s="621"/>
      <c r="E5" s="621"/>
      <c r="F5" s="621"/>
      <c r="G5" s="621"/>
      <c r="H5" s="621"/>
      <c r="I5" s="621"/>
    </row>
    <row r="6" spans="1:10" x14ac:dyDescent="0.2">
      <c r="B6" s="621" t="s">
        <v>92</v>
      </c>
      <c r="C6" s="621"/>
      <c r="D6" s="621"/>
      <c r="E6" s="621"/>
      <c r="F6" s="621"/>
      <c r="G6" s="621"/>
      <c r="H6" s="621"/>
      <c r="I6" s="621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/>
      <c r="C8" s="280" t="s">
        <v>4</v>
      </c>
      <c r="D8" s="629" t="str">
        <f>+ENTE!D8</f>
        <v xml:space="preserve">UNIVERSIDAD TECNOLÓGICA DE SAN JUAN DEL RÍO </v>
      </c>
      <c r="E8" s="629"/>
      <c r="F8" s="629"/>
      <c r="G8" s="629"/>
      <c r="H8" s="629"/>
      <c r="I8" s="629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625" t="s">
        <v>393</v>
      </c>
      <c r="C10" s="626"/>
      <c r="D10" s="647" t="s">
        <v>494</v>
      </c>
      <c r="E10" s="647"/>
      <c r="F10" s="647"/>
      <c r="G10" s="647"/>
      <c r="H10" s="647"/>
      <c r="I10" s="647" t="s">
        <v>644</v>
      </c>
    </row>
    <row r="11" spans="1:10" ht="50.25" customHeight="1" x14ac:dyDescent="0.2">
      <c r="B11" s="627"/>
      <c r="C11" s="628"/>
      <c r="D11" s="215" t="s">
        <v>495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647"/>
    </row>
    <row r="12" spans="1:10" x14ac:dyDescent="0.2">
      <c r="B12" s="216"/>
      <c r="C12" s="201"/>
      <c r="D12" s="542"/>
      <c r="E12" s="543"/>
      <c r="F12" s="544"/>
      <c r="G12" s="542"/>
      <c r="H12" s="543"/>
      <c r="I12" s="545"/>
    </row>
    <row r="13" spans="1:10" s="207" customFormat="1" ht="12.75" customHeight="1" x14ac:dyDescent="0.2">
      <c r="A13" s="200"/>
      <c r="B13" s="205"/>
      <c r="C13" s="279"/>
      <c r="D13" s="491"/>
      <c r="E13" s="530"/>
      <c r="F13" s="488"/>
      <c r="G13" s="487"/>
      <c r="H13" s="530"/>
      <c r="I13" s="507"/>
      <c r="J13" s="200"/>
    </row>
    <row r="14" spans="1:10" x14ac:dyDescent="0.2">
      <c r="B14" s="634" t="s">
        <v>623</v>
      </c>
      <c r="C14" s="635"/>
      <c r="D14" s="482">
        <f>+D15+D16+D17+D20+D21+D24</f>
        <v>23401388.66</v>
      </c>
      <c r="E14" s="484">
        <f>+E15+E16+E17+E20+E21+E24</f>
        <v>1155711.79</v>
      </c>
      <c r="F14" s="483">
        <f>+F15+F16+F17+F20+F21+F24</f>
        <v>199792.25</v>
      </c>
      <c r="G14" s="482">
        <f>+G15+G16+G17+G20+G21+G24</f>
        <v>0</v>
      </c>
      <c r="H14" s="484">
        <f>+H15+H16+H17+H20+H21+H24</f>
        <v>5084140.05</v>
      </c>
      <c r="I14" s="485">
        <f>+F14-G14</f>
        <v>199792.25</v>
      </c>
    </row>
    <row r="15" spans="1:10" x14ac:dyDescent="0.2">
      <c r="B15" s="209" t="s">
        <v>624</v>
      </c>
      <c r="C15" s="213"/>
      <c r="D15" s="331">
        <v>23401388.66</v>
      </c>
      <c r="E15" s="332">
        <v>1155711.79</v>
      </c>
      <c r="F15" s="333">
        <v>199792.25</v>
      </c>
      <c r="G15" s="331"/>
      <c r="H15" s="332">
        <v>5084140.05</v>
      </c>
      <c r="I15" s="507">
        <f>+F15-G15</f>
        <v>199792.25</v>
      </c>
    </row>
    <row r="16" spans="1:10" x14ac:dyDescent="0.2">
      <c r="B16" s="209" t="s">
        <v>625</v>
      </c>
      <c r="C16" s="213"/>
      <c r="D16" s="331"/>
      <c r="E16" s="332"/>
      <c r="F16" s="333"/>
      <c r="G16" s="331"/>
      <c r="H16" s="332"/>
      <c r="I16" s="507">
        <f t="shared" ref="I16:I24" si="0">+F16-G16</f>
        <v>0</v>
      </c>
    </row>
    <row r="17" spans="2:9" x14ac:dyDescent="0.2">
      <c r="B17" s="209" t="s">
        <v>626</v>
      </c>
      <c r="C17" s="213"/>
      <c r="D17" s="491">
        <f>+D18+D19</f>
        <v>0</v>
      </c>
      <c r="E17" s="506">
        <f>+E18+E19</f>
        <v>0</v>
      </c>
      <c r="F17" s="492">
        <f>+F18+F19</f>
        <v>0</v>
      </c>
      <c r="G17" s="491">
        <f>+G18+G19</f>
        <v>0</v>
      </c>
      <c r="H17" s="506">
        <f>+H18+H19</f>
        <v>0</v>
      </c>
      <c r="I17" s="507">
        <f t="shared" si="0"/>
        <v>0</v>
      </c>
    </row>
    <row r="18" spans="2:9" x14ac:dyDescent="0.2">
      <c r="B18" s="209" t="s">
        <v>627</v>
      </c>
      <c r="C18" s="213"/>
      <c r="D18" s="331"/>
      <c r="E18" s="332"/>
      <c r="F18" s="333"/>
      <c r="G18" s="331"/>
      <c r="H18" s="332"/>
      <c r="I18" s="507">
        <f t="shared" si="0"/>
        <v>0</v>
      </c>
    </row>
    <row r="19" spans="2:9" x14ac:dyDescent="0.2">
      <c r="B19" s="209" t="s">
        <v>628</v>
      </c>
      <c r="C19" s="213"/>
      <c r="D19" s="331"/>
      <c r="E19" s="332"/>
      <c r="F19" s="333"/>
      <c r="G19" s="331"/>
      <c r="H19" s="332"/>
      <c r="I19" s="507">
        <f t="shared" si="0"/>
        <v>0</v>
      </c>
    </row>
    <row r="20" spans="2:9" x14ac:dyDescent="0.2">
      <c r="B20" s="209" t="s">
        <v>629</v>
      </c>
      <c r="C20" s="213"/>
      <c r="D20" s="331"/>
      <c r="E20" s="332"/>
      <c r="F20" s="333"/>
      <c r="G20" s="331"/>
      <c r="H20" s="332"/>
      <c r="I20" s="507">
        <f t="shared" si="0"/>
        <v>0</v>
      </c>
    </row>
    <row r="21" spans="2:9" ht="25.5" customHeight="1" x14ac:dyDescent="0.2">
      <c r="B21" s="759" t="s">
        <v>630</v>
      </c>
      <c r="C21" s="760"/>
      <c r="D21" s="491">
        <f>+D22+D23</f>
        <v>0</v>
      </c>
      <c r="E21" s="506">
        <f>+E22+E23</f>
        <v>0</v>
      </c>
      <c r="F21" s="492">
        <f>+F22+F23</f>
        <v>0</v>
      </c>
      <c r="G21" s="491">
        <f>+G22+G23</f>
        <v>0</v>
      </c>
      <c r="H21" s="506">
        <f>+H22+H23</f>
        <v>0</v>
      </c>
      <c r="I21" s="507">
        <f t="shared" si="0"/>
        <v>0</v>
      </c>
    </row>
    <row r="22" spans="2:9" x14ac:dyDescent="0.2">
      <c r="B22" s="209" t="s">
        <v>631</v>
      </c>
      <c r="C22" s="213"/>
      <c r="D22" s="331"/>
      <c r="E22" s="332"/>
      <c r="F22" s="333"/>
      <c r="G22" s="331"/>
      <c r="H22" s="332"/>
      <c r="I22" s="507">
        <f t="shared" si="0"/>
        <v>0</v>
      </c>
    </row>
    <row r="23" spans="2:9" x14ac:dyDescent="0.2">
      <c r="B23" s="209" t="s">
        <v>632</v>
      </c>
      <c r="C23" s="213"/>
      <c r="D23" s="331"/>
      <c r="E23" s="332"/>
      <c r="F23" s="333"/>
      <c r="G23" s="331"/>
      <c r="H23" s="332"/>
      <c r="I23" s="507">
        <f t="shared" si="0"/>
        <v>0</v>
      </c>
    </row>
    <row r="24" spans="2:9" x14ac:dyDescent="0.2">
      <c r="B24" s="209" t="s">
        <v>633</v>
      </c>
      <c r="C24" s="213"/>
      <c r="D24" s="331"/>
      <c r="E24" s="332"/>
      <c r="F24" s="333"/>
      <c r="G24" s="331"/>
      <c r="H24" s="332"/>
      <c r="I24" s="507">
        <f t="shared" si="0"/>
        <v>0</v>
      </c>
    </row>
    <row r="25" spans="2:9" x14ac:dyDescent="0.2">
      <c r="B25" s="209"/>
      <c r="C25" s="213"/>
      <c r="D25" s="330"/>
      <c r="E25" s="334"/>
      <c r="F25" s="335"/>
      <c r="G25" s="330"/>
      <c r="H25" s="334"/>
      <c r="I25" s="507"/>
    </row>
    <row r="26" spans="2:9" x14ac:dyDescent="0.2">
      <c r="B26" s="634" t="s">
        <v>634</v>
      </c>
      <c r="C26" s="635"/>
      <c r="D26" s="482">
        <f>+D27+D28+D29+D32+D33+D36</f>
        <v>106803559.63</v>
      </c>
      <c r="E26" s="484">
        <f>+E27+E28+E29+E32+E33+E36</f>
        <v>-1521.23</v>
      </c>
      <c r="F26" s="483">
        <f>+F27+F28+F29+F32+F33+F36</f>
        <v>113131.91</v>
      </c>
      <c r="G26" s="482">
        <f>+G27+G28+G29+G32+G33+G36</f>
        <v>0</v>
      </c>
      <c r="H26" s="484">
        <f>+H27+H28+H29+H32+H33+H36</f>
        <v>19372272.859999999</v>
      </c>
      <c r="I26" s="485">
        <f>+F26-G26</f>
        <v>113131.91</v>
      </c>
    </row>
    <row r="27" spans="2:9" x14ac:dyDescent="0.2">
      <c r="B27" s="209" t="s">
        <v>624</v>
      </c>
      <c r="C27" s="213"/>
      <c r="D27" s="331">
        <v>106803559.63</v>
      </c>
      <c r="E27" s="332">
        <v>-1521.23</v>
      </c>
      <c r="F27" s="333">
        <v>113131.91</v>
      </c>
      <c r="G27" s="331"/>
      <c r="H27" s="332">
        <v>19372272.859999999</v>
      </c>
      <c r="I27" s="507">
        <f t="shared" ref="I27:I36" si="1">+F27-G27</f>
        <v>113131.91</v>
      </c>
    </row>
    <row r="28" spans="2:9" x14ac:dyDescent="0.2">
      <c r="B28" s="209" t="s">
        <v>625</v>
      </c>
      <c r="C28" s="213"/>
      <c r="D28" s="331"/>
      <c r="E28" s="332"/>
      <c r="F28" s="333"/>
      <c r="G28" s="331"/>
      <c r="H28" s="332"/>
      <c r="I28" s="507">
        <f t="shared" si="1"/>
        <v>0</v>
      </c>
    </row>
    <row r="29" spans="2:9" x14ac:dyDescent="0.2">
      <c r="B29" s="209" t="s">
        <v>626</v>
      </c>
      <c r="C29" s="213"/>
      <c r="D29" s="491">
        <f>+D30+D31</f>
        <v>0</v>
      </c>
      <c r="E29" s="506">
        <f>+E30+E31</f>
        <v>0</v>
      </c>
      <c r="F29" s="492">
        <f>+F30+F31</f>
        <v>0</v>
      </c>
      <c r="G29" s="491">
        <f>+G30+G31</f>
        <v>0</v>
      </c>
      <c r="H29" s="506">
        <f>+H30+H31</f>
        <v>0</v>
      </c>
      <c r="I29" s="507">
        <f t="shared" si="1"/>
        <v>0</v>
      </c>
    </row>
    <row r="30" spans="2:9" x14ac:dyDescent="0.2">
      <c r="B30" s="209" t="s">
        <v>627</v>
      </c>
      <c r="C30" s="213"/>
      <c r="D30" s="331"/>
      <c r="E30" s="332"/>
      <c r="F30" s="333"/>
      <c r="G30" s="331"/>
      <c r="H30" s="332"/>
      <c r="I30" s="507">
        <f t="shared" si="1"/>
        <v>0</v>
      </c>
    </row>
    <row r="31" spans="2:9" x14ac:dyDescent="0.2">
      <c r="B31" s="209" t="s">
        <v>628</v>
      </c>
      <c r="C31" s="213"/>
      <c r="D31" s="331"/>
      <c r="E31" s="332"/>
      <c r="F31" s="333"/>
      <c r="G31" s="331"/>
      <c r="H31" s="332"/>
      <c r="I31" s="507">
        <f t="shared" si="1"/>
        <v>0</v>
      </c>
    </row>
    <row r="32" spans="2:9" x14ac:dyDescent="0.2">
      <c r="B32" s="209" t="s">
        <v>629</v>
      </c>
      <c r="C32" s="213"/>
      <c r="D32" s="331"/>
      <c r="E32" s="332"/>
      <c r="F32" s="333"/>
      <c r="G32" s="331"/>
      <c r="H32" s="332"/>
      <c r="I32" s="507">
        <f t="shared" si="1"/>
        <v>0</v>
      </c>
    </row>
    <row r="33" spans="1:10" ht="24" customHeight="1" x14ac:dyDescent="0.2">
      <c r="B33" s="759" t="s">
        <v>630</v>
      </c>
      <c r="C33" s="760"/>
      <c r="D33" s="491">
        <f>+D34+D35</f>
        <v>0</v>
      </c>
      <c r="E33" s="506">
        <f>+E34+E35</f>
        <v>0</v>
      </c>
      <c r="F33" s="492">
        <f>+F34+F35</f>
        <v>0</v>
      </c>
      <c r="G33" s="491">
        <f>+G34+G35</f>
        <v>0</v>
      </c>
      <c r="H33" s="506">
        <f>+H34+H35</f>
        <v>0</v>
      </c>
      <c r="I33" s="507">
        <f t="shared" si="1"/>
        <v>0</v>
      </c>
    </row>
    <row r="34" spans="1:10" x14ac:dyDescent="0.2">
      <c r="B34" s="209" t="s">
        <v>631</v>
      </c>
      <c r="C34" s="213"/>
      <c r="D34" s="331"/>
      <c r="E34" s="332"/>
      <c r="F34" s="333"/>
      <c r="G34" s="331"/>
      <c r="H34" s="332"/>
      <c r="I34" s="507">
        <f t="shared" si="1"/>
        <v>0</v>
      </c>
    </row>
    <row r="35" spans="1:10" x14ac:dyDescent="0.2">
      <c r="B35" s="209" t="s">
        <v>632</v>
      </c>
      <c r="C35" s="213"/>
      <c r="D35" s="331"/>
      <c r="E35" s="332"/>
      <c r="F35" s="333"/>
      <c r="G35" s="331"/>
      <c r="H35" s="332"/>
      <c r="I35" s="507">
        <f t="shared" si="1"/>
        <v>0</v>
      </c>
    </row>
    <row r="36" spans="1:10" x14ac:dyDescent="0.2">
      <c r="B36" s="209" t="s">
        <v>633</v>
      </c>
      <c r="C36" s="213"/>
      <c r="D36" s="331"/>
      <c r="E36" s="332"/>
      <c r="F36" s="333"/>
      <c r="G36" s="331"/>
      <c r="H36" s="332"/>
      <c r="I36" s="507">
        <f t="shared" si="1"/>
        <v>0</v>
      </c>
    </row>
    <row r="37" spans="1:10" x14ac:dyDescent="0.2">
      <c r="B37" s="209"/>
      <c r="C37" s="213"/>
      <c r="D37" s="491"/>
      <c r="E37" s="506"/>
      <c r="F37" s="492"/>
      <c r="G37" s="491"/>
      <c r="H37" s="506"/>
      <c r="I37" s="507"/>
    </row>
    <row r="38" spans="1:10" s="211" customFormat="1" x14ac:dyDescent="0.2">
      <c r="A38" s="210"/>
      <c r="B38" s="634" t="s">
        <v>635</v>
      </c>
      <c r="C38" s="635"/>
      <c r="D38" s="532">
        <f>+D14+D26</f>
        <v>130204948.28999999</v>
      </c>
      <c r="E38" s="533">
        <f>+E14+E26</f>
        <v>1154190.56</v>
      </c>
      <c r="F38" s="547">
        <f>+F14+F26</f>
        <v>312924.16000000003</v>
      </c>
      <c r="G38" s="532">
        <f>+G14+G26</f>
        <v>0</v>
      </c>
      <c r="H38" s="533">
        <f>+H14+H26</f>
        <v>24456412.91</v>
      </c>
      <c r="I38" s="485">
        <f>+F38-G38</f>
        <v>312924.16000000003</v>
      </c>
      <c r="J38" s="210"/>
    </row>
    <row r="39" spans="1:10" x14ac:dyDescent="0.2">
      <c r="B39" s="212"/>
      <c r="C39" s="265"/>
      <c r="D39" s="548"/>
      <c r="E39" s="549"/>
      <c r="F39" s="550"/>
      <c r="G39" s="548"/>
      <c r="H39" s="549"/>
      <c r="I39" s="546"/>
    </row>
    <row r="40" spans="1:10" x14ac:dyDescent="0.2">
      <c r="B40" s="613" t="s">
        <v>149</v>
      </c>
      <c r="C40" s="613"/>
      <c r="D40" s="613"/>
      <c r="E40" s="613"/>
      <c r="F40" s="613"/>
      <c r="G40" s="613"/>
      <c r="H40" s="613"/>
      <c r="I40" s="206"/>
    </row>
    <row r="41" spans="1:10" x14ac:dyDescent="0.2">
      <c r="B41" s="613"/>
      <c r="C41" s="613"/>
      <c r="D41" s="613"/>
      <c r="E41" s="613"/>
      <c r="F41" s="613"/>
      <c r="G41" s="613"/>
      <c r="H41" s="613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79"/>
      <c r="C47" s="321"/>
      <c r="D47" s="322"/>
      <c r="E47" s="323"/>
      <c r="F47" s="322"/>
      <c r="G47" s="322"/>
      <c r="H47" s="322"/>
      <c r="I47" s="323"/>
    </row>
    <row r="48" spans="1:10" x14ac:dyDescent="0.2">
      <c r="B48" s="279"/>
      <c r="C48" s="756" t="str">
        <f>+ENTE!D10</f>
        <v xml:space="preserve">M. EN A.  GONZALO FERREIRA MARTÍNEZ </v>
      </c>
      <c r="D48" s="756"/>
      <c r="E48" s="323"/>
      <c r="F48" s="758" t="str">
        <f>+ENTE!D14</f>
        <v>C.P.  ELDA GRACIELA FLORES HERNÁNDEZ</v>
      </c>
      <c r="G48" s="758"/>
      <c r="H48" s="758"/>
      <c r="I48" s="323"/>
    </row>
    <row r="49" spans="2:9" x14ac:dyDescent="0.2">
      <c r="B49" s="279"/>
      <c r="C49" s="749" t="str">
        <f>+ENTE!D12</f>
        <v>DIRECTOR DE ADMINISTRACIÓN  Y FINANZAS</v>
      </c>
      <c r="D49" s="749"/>
      <c r="E49" s="323"/>
      <c r="F49" s="757" t="str">
        <f>+ENTE!D16</f>
        <v>JEFA DEL DEPARTAMENTO DE ADMINISTRACIÓN FINANCIERA</v>
      </c>
      <c r="G49" s="757"/>
      <c r="H49" s="757"/>
      <c r="I49" s="323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4"/>
      <c r="C56" s="214"/>
      <c r="D56" s="206"/>
      <c r="E56" s="206"/>
      <c r="F56" s="206"/>
      <c r="G56" s="206"/>
      <c r="H56" s="206"/>
      <c r="I56" s="206"/>
    </row>
    <row r="57" spans="2:9" x14ac:dyDescent="0.2">
      <c r="B57" s="213"/>
      <c r="C57" s="213"/>
      <c r="D57" s="206"/>
      <c r="E57" s="206"/>
      <c r="F57" s="206"/>
      <c r="G57" s="206"/>
      <c r="H57" s="206"/>
      <c r="I57" s="206"/>
    </row>
    <row r="58" spans="2:9" x14ac:dyDescent="0.2">
      <c r="B58" s="213"/>
      <c r="C58" s="213"/>
      <c r="D58" s="206"/>
      <c r="E58" s="206"/>
      <c r="F58" s="206"/>
      <c r="G58" s="206"/>
      <c r="H58" s="206"/>
      <c r="I58" s="206"/>
    </row>
    <row r="59" spans="2:9" x14ac:dyDescent="0.2">
      <c r="B59" s="213"/>
      <c r="C59" s="213"/>
      <c r="D59" s="206"/>
      <c r="E59" s="206"/>
      <c r="F59" s="206"/>
      <c r="G59" s="206"/>
      <c r="H59" s="206"/>
      <c r="I59" s="206"/>
    </row>
    <row r="60" spans="2:9" x14ac:dyDescent="0.2">
      <c r="B60" s="213"/>
      <c r="C60" s="213"/>
      <c r="D60" s="206"/>
      <c r="E60" s="206"/>
      <c r="F60" s="206"/>
      <c r="G60" s="206"/>
      <c r="H60" s="206"/>
      <c r="I60" s="206"/>
    </row>
    <row r="61" spans="2:9" x14ac:dyDescent="0.2">
      <c r="B61" s="213"/>
      <c r="C61" s="213"/>
      <c r="D61" s="206"/>
      <c r="E61" s="206"/>
      <c r="F61" s="206"/>
      <c r="G61" s="206"/>
      <c r="H61" s="206"/>
      <c r="I61" s="206"/>
    </row>
    <row r="62" spans="2:9" x14ac:dyDescent="0.2">
      <c r="B62" s="213"/>
      <c r="C62" s="213"/>
      <c r="D62" s="206"/>
      <c r="E62" s="206"/>
      <c r="F62" s="206"/>
      <c r="G62" s="206"/>
      <c r="H62" s="206"/>
      <c r="I62" s="206"/>
    </row>
    <row r="63" spans="2:9" x14ac:dyDescent="0.2">
      <c r="B63" s="213"/>
      <c r="C63" s="213"/>
      <c r="D63" s="206"/>
      <c r="E63" s="206"/>
      <c r="F63" s="206"/>
      <c r="G63" s="206"/>
      <c r="H63" s="206"/>
      <c r="I63" s="206"/>
    </row>
    <row r="64" spans="2:9" x14ac:dyDescent="0.2">
      <c r="B64" s="213"/>
      <c r="C64" s="213"/>
      <c r="D64" s="206"/>
      <c r="E64" s="206"/>
      <c r="F64" s="206"/>
      <c r="G64" s="206"/>
      <c r="H64" s="206"/>
      <c r="I64" s="206"/>
    </row>
    <row r="65" spans="2:9" x14ac:dyDescent="0.2">
      <c r="B65" s="213"/>
      <c r="C65" s="213"/>
      <c r="D65" s="206"/>
      <c r="E65" s="206"/>
      <c r="F65" s="206"/>
      <c r="G65" s="206"/>
      <c r="H65" s="206"/>
      <c r="I65" s="206"/>
    </row>
    <row r="66" spans="2:9" x14ac:dyDescent="0.2">
      <c r="B66" s="213"/>
      <c r="C66" s="213"/>
      <c r="D66" s="206"/>
      <c r="E66" s="206"/>
      <c r="F66" s="206"/>
      <c r="G66" s="206"/>
      <c r="H66" s="206"/>
      <c r="I66" s="206"/>
    </row>
    <row r="67" spans="2:9" x14ac:dyDescent="0.2">
      <c r="B67" s="213"/>
      <c r="C67" s="213"/>
      <c r="D67" s="206"/>
      <c r="E67" s="206"/>
      <c r="F67" s="206"/>
      <c r="G67" s="206"/>
      <c r="H67" s="206"/>
      <c r="I67" s="206"/>
    </row>
    <row r="68" spans="2:9" x14ac:dyDescent="0.2">
      <c r="B68" s="213"/>
      <c r="C68" s="213"/>
      <c r="D68" s="206"/>
      <c r="E68" s="206"/>
      <c r="F68" s="206"/>
      <c r="G68" s="206"/>
      <c r="H68" s="206"/>
      <c r="I68" s="206"/>
    </row>
    <row r="69" spans="2:9" x14ac:dyDescent="0.2">
      <c r="B69" s="213"/>
      <c r="C69" s="213"/>
      <c r="D69" s="206"/>
      <c r="E69" s="206"/>
      <c r="F69" s="206"/>
      <c r="G69" s="206"/>
      <c r="H69" s="206"/>
      <c r="I69" s="206"/>
    </row>
    <row r="70" spans="2:9" x14ac:dyDescent="0.2">
      <c r="B70" s="213"/>
      <c r="C70" s="213"/>
      <c r="D70" s="206"/>
      <c r="E70" s="206"/>
      <c r="F70" s="206"/>
      <c r="G70" s="206"/>
      <c r="H70" s="206"/>
      <c r="I70" s="206"/>
    </row>
  </sheetData>
  <sheetProtection algorithmName="SHA-512" hashValue="TNF+C3N/58ZQsb6D60MDbU7HawXQjZLTTmIudIvaRkVStCgNwc4TtK4ZLfClp8nbOYfFkPM0kFBuAp/WpN6O9g==" saltValue="rx3m3z3yxxUgk9r3PouQzQ==" spinCount="100000" sheet="1" objects="1" scenarios="1" selectLockedCells="1"/>
  <mergeCells count="20">
    <mergeCell ref="B40:H40"/>
    <mergeCell ref="B33:C33"/>
    <mergeCell ref="B21:C21"/>
    <mergeCell ref="B38:C38"/>
    <mergeCell ref="B26:C26"/>
    <mergeCell ref="B14:C14"/>
    <mergeCell ref="D10:H10"/>
    <mergeCell ref="I10:I11"/>
    <mergeCell ref="D8:I8"/>
    <mergeCell ref="B10:C11"/>
    <mergeCell ref="B2:I2"/>
    <mergeCell ref="B3:I3"/>
    <mergeCell ref="B4:I4"/>
    <mergeCell ref="B5:I5"/>
    <mergeCell ref="B6:I6"/>
    <mergeCell ref="B41:H41"/>
    <mergeCell ref="C48:D48"/>
    <mergeCell ref="C49:D49"/>
    <mergeCell ref="F49:H49"/>
    <mergeCell ref="F48:H48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view="pageBreakPreview" zoomScaleSheetLayoutView="100" workbookViewId="0">
      <selection activeCell="C17" sqref="C17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02"/>
      <c r="C2" s="602"/>
      <c r="D2" s="602"/>
      <c r="E2" s="602"/>
      <c r="F2" s="281"/>
    </row>
    <row r="3" spans="2:6" x14ac:dyDescent="0.2">
      <c r="B3" s="617" t="s">
        <v>784</v>
      </c>
      <c r="C3" s="617"/>
      <c r="D3" s="617"/>
      <c r="E3" s="617"/>
    </row>
    <row r="4" spans="2:6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</row>
    <row r="5" spans="2:6" x14ac:dyDescent="0.2">
      <c r="B5" s="617" t="s">
        <v>92</v>
      </c>
      <c r="C5" s="617"/>
      <c r="D5" s="617"/>
      <c r="E5" s="617"/>
    </row>
    <row r="6" spans="2:6" x14ac:dyDescent="0.2">
      <c r="B6" s="558"/>
      <c r="C6" s="558"/>
      <c r="D6" s="558"/>
      <c r="E6" s="558"/>
    </row>
    <row r="7" spans="2:6" x14ac:dyDescent="0.2">
      <c r="B7" s="559" t="s">
        <v>4</v>
      </c>
      <c r="C7" s="604" t="str">
        <f>+ENTE!D8</f>
        <v xml:space="preserve">UNIVERSIDAD TECNOLÓGICA DE SAN JUAN DEL RÍO </v>
      </c>
      <c r="D7" s="604"/>
      <c r="E7" s="604"/>
    </row>
    <row r="8" spans="2:6" x14ac:dyDescent="0.2">
      <c r="B8" s="21"/>
      <c r="C8" s="21"/>
      <c r="D8" s="21"/>
    </row>
    <row r="9" spans="2:6" x14ac:dyDescent="0.2">
      <c r="B9" s="768" t="s">
        <v>783</v>
      </c>
      <c r="C9" s="769"/>
      <c r="D9" s="556" t="s">
        <v>221</v>
      </c>
      <c r="E9" s="556" t="s">
        <v>245</v>
      </c>
    </row>
    <row r="10" spans="2:6" x14ac:dyDescent="0.2">
      <c r="B10" s="763" t="s">
        <v>782</v>
      </c>
      <c r="C10" s="764"/>
      <c r="D10" s="764"/>
      <c r="E10" s="765"/>
    </row>
    <row r="11" spans="2:6" x14ac:dyDescent="0.2">
      <c r="B11" s="570"/>
      <c r="C11" s="569"/>
      <c r="D11" s="568"/>
      <c r="E11" s="571"/>
    </row>
    <row r="12" spans="2:6" x14ac:dyDescent="0.2">
      <c r="B12" s="566"/>
      <c r="C12" s="565"/>
      <c r="D12" s="333"/>
      <c r="E12" s="564"/>
    </row>
    <row r="13" spans="2:6" x14ac:dyDescent="0.2">
      <c r="B13" s="566"/>
      <c r="C13" s="565"/>
      <c r="D13" s="333"/>
      <c r="E13" s="564"/>
    </row>
    <row r="14" spans="2:6" x14ac:dyDescent="0.2">
      <c r="B14" s="566"/>
      <c r="C14" s="565"/>
      <c r="D14" s="333"/>
      <c r="E14" s="564"/>
    </row>
    <row r="15" spans="2:6" x14ac:dyDescent="0.2">
      <c r="B15" s="566"/>
      <c r="C15" s="565"/>
      <c r="D15" s="333"/>
      <c r="E15" s="564"/>
    </row>
    <row r="16" spans="2:6" x14ac:dyDescent="0.2">
      <c r="B16" s="566"/>
      <c r="C16" s="565"/>
      <c r="D16" s="333"/>
      <c r="E16" s="564"/>
    </row>
    <row r="17" spans="2:5" x14ac:dyDescent="0.2">
      <c r="B17" s="566"/>
      <c r="C17" s="565"/>
      <c r="D17" s="333"/>
      <c r="E17" s="564"/>
    </row>
    <row r="18" spans="2:5" x14ac:dyDescent="0.2">
      <c r="B18" s="566"/>
      <c r="C18" s="565"/>
      <c r="D18" s="333"/>
      <c r="E18" s="564"/>
    </row>
    <row r="19" spans="2:5" x14ac:dyDescent="0.2">
      <c r="B19" s="566"/>
      <c r="C19" s="565"/>
      <c r="D19" s="333"/>
      <c r="E19" s="564"/>
    </row>
    <row r="20" spans="2:5" x14ac:dyDescent="0.2">
      <c r="B20" s="566"/>
      <c r="C20" s="565"/>
      <c r="D20" s="333"/>
      <c r="E20" s="564"/>
    </row>
    <row r="21" spans="2:5" x14ac:dyDescent="0.2">
      <c r="B21" s="766" t="s">
        <v>781</v>
      </c>
      <c r="C21" s="767"/>
      <c r="D21" s="492">
        <f>SUM(D11:D20)</f>
        <v>0</v>
      </c>
      <c r="E21" s="507">
        <f>SUM(E11:E20)</f>
        <v>0</v>
      </c>
    </row>
    <row r="22" spans="2:5" x14ac:dyDescent="0.2">
      <c r="B22" s="768" t="s">
        <v>780</v>
      </c>
      <c r="C22" s="769"/>
      <c r="D22" s="769"/>
      <c r="E22" s="770"/>
    </row>
    <row r="23" spans="2:5" x14ac:dyDescent="0.2">
      <c r="B23" s="570"/>
      <c r="C23" s="569"/>
      <c r="D23" s="568"/>
      <c r="E23" s="567"/>
    </row>
    <row r="24" spans="2:5" x14ac:dyDescent="0.2">
      <c r="B24" s="566"/>
      <c r="C24" s="565"/>
      <c r="D24" s="333"/>
      <c r="E24" s="564"/>
    </row>
    <row r="25" spans="2:5" x14ac:dyDescent="0.2">
      <c r="B25" s="566"/>
      <c r="C25" s="565"/>
      <c r="D25" s="333"/>
      <c r="E25" s="564"/>
    </row>
    <row r="26" spans="2:5" x14ac:dyDescent="0.2">
      <c r="B26" s="566"/>
      <c r="C26" s="565"/>
      <c r="D26" s="333"/>
      <c r="E26" s="564"/>
    </row>
    <row r="27" spans="2:5" x14ac:dyDescent="0.2">
      <c r="B27" s="566"/>
      <c r="C27" s="565"/>
      <c r="D27" s="333"/>
      <c r="E27" s="564"/>
    </row>
    <row r="28" spans="2:5" x14ac:dyDescent="0.2">
      <c r="B28" s="566"/>
      <c r="C28" s="565"/>
      <c r="D28" s="333"/>
      <c r="E28" s="564"/>
    </row>
    <row r="29" spans="2:5" x14ac:dyDescent="0.2">
      <c r="B29" s="566"/>
      <c r="C29" s="565"/>
      <c r="D29" s="333"/>
      <c r="E29" s="564"/>
    </row>
    <row r="30" spans="2:5" x14ac:dyDescent="0.2">
      <c r="B30" s="566"/>
      <c r="C30" s="565"/>
      <c r="D30" s="333"/>
      <c r="E30" s="564"/>
    </row>
    <row r="31" spans="2:5" x14ac:dyDescent="0.2">
      <c r="B31" s="566"/>
      <c r="C31" s="565"/>
      <c r="D31" s="333"/>
      <c r="E31" s="564"/>
    </row>
    <row r="32" spans="2:5" x14ac:dyDescent="0.2">
      <c r="B32" s="566"/>
      <c r="C32" s="565"/>
      <c r="D32" s="333"/>
      <c r="E32" s="564"/>
    </row>
    <row r="33" spans="2:9" x14ac:dyDescent="0.2">
      <c r="B33" s="566"/>
      <c r="C33" s="565"/>
      <c r="D33" s="333"/>
      <c r="E33" s="564"/>
    </row>
    <row r="34" spans="2:9" x14ac:dyDescent="0.2">
      <c r="B34" s="566"/>
      <c r="C34" s="565"/>
      <c r="D34" s="333"/>
      <c r="E34" s="564"/>
    </row>
    <row r="35" spans="2:9" x14ac:dyDescent="0.2">
      <c r="B35" s="766" t="s">
        <v>779</v>
      </c>
      <c r="C35" s="767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63"/>
    </row>
    <row r="37" spans="2:9" x14ac:dyDescent="0.2">
      <c r="B37" s="762" t="s">
        <v>778</v>
      </c>
      <c r="C37" s="629"/>
      <c r="D37" s="562">
        <f>+D21+D35</f>
        <v>0</v>
      </c>
      <c r="E37" s="561">
        <f>+E21+E35</f>
        <v>0</v>
      </c>
    </row>
    <row r="38" spans="2:9" x14ac:dyDescent="0.2">
      <c r="B38" s="761" t="s">
        <v>149</v>
      </c>
      <c r="C38" s="761"/>
      <c r="D38" s="761"/>
      <c r="E38" s="761"/>
    </row>
    <row r="39" spans="2:9" ht="12" customHeight="1" x14ac:dyDescent="0.2">
      <c r="B39" s="761"/>
      <c r="C39" s="761"/>
      <c r="D39" s="761"/>
      <c r="E39" s="761"/>
      <c r="F39" s="560"/>
      <c r="G39" s="560"/>
      <c r="H39" s="560"/>
      <c r="I39" s="560"/>
    </row>
    <row r="43" spans="2:9" x14ac:dyDescent="0.2">
      <c r="C43" s="17"/>
      <c r="D43" s="42"/>
      <c r="E43" s="42"/>
    </row>
    <row r="44" spans="2:9" x14ac:dyDescent="0.2">
      <c r="C44" s="557" t="str">
        <f>+ENTE!D10</f>
        <v xml:space="preserve">M. EN A.  GONZALO FERREIRA MARTÍNEZ </v>
      </c>
      <c r="D44" s="610" t="str">
        <f>+ENTE!D14</f>
        <v>C.P.  ELDA GRACIELA FLORES HERNÁNDEZ</v>
      </c>
      <c r="E44" s="610"/>
    </row>
    <row r="45" spans="2:9" x14ac:dyDescent="0.2">
      <c r="C45" s="557" t="str">
        <f>+ENTE!D12</f>
        <v>DIRECTOR DE ADMINISTRACIÓN  Y FINANZAS</v>
      </c>
      <c r="D45" s="610" t="str">
        <f>+ENTE!D16</f>
        <v>JEFA DEL DEPARTAMENTO DE ADMINISTRACIÓN FINANCIERA</v>
      </c>
      <c r="E45" s="610"/>
    </row>
  </sheetData>
  <sheetProtection algorithmName="SHA-512" hashValue="HuNZ9GCVklIrgyIgd25KcbxiFiztFCQ+cH6wj3k0blMWLC9zrk09ZrH4E2QmxyvL33DnLQQe8tgCUUVhQrVUuw==" saltValue="1YkrWBM+CVy5lPfa5JoBBQ==" spinCount="100000" sheet="1" objects="1" scenarios="1" selectLockedCells="1"/>
  <mergeCells count="15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SheetLayoutView="100" workbookViewId="0">
      <selection activeCell="F12" sqref="F12:G12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02"/>
      <c r="C2" s="602"/>
      <c r="D2" s="602"/>
      <c r="E2" s="602"/>
      <c r="F2" s="602"/>
      <c r="G2" s="602"/>
      <c r="H2" s="602"/>
      <c r="I2" s="602"/>
      <c r="J2" s="21"/>
    </row>
    <row r="3" spans="1:10" x14ac:dyDescent="0.2">
      <c r="A3" s="21"/>
      <c r="B3" s="617" t="s">
        <v>807</v>
      </c>
      <c r="C3" s="617"/>
      <c r="D3" s="617"/>
      <c r="E3" s="617"/>
      <c r="F3" s="617"/>
      <c r="G3" s="617"/>
      <c r="H3" s="617"/>
      <c r="I3" s="617"/>
      <c r="J3" s="21"/>
    </row>
    <row r="4" spans="1:10" x14ac:dyDescent="0.2">
      <c r="A4" s="21"/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  <c r="J4" s="21"/>
    </row>
    <row r="5" spans="1:10" x14ac:dyDescent="0.2">
      <c r="A5" s="21"/>
      <c r="B5" s="617" t="s">
        <v>92</v>
      </c>
      <c r="C5" s="617"/>
      <c r="D5" s="617"/>
      <c r="E5" s="617"/>
      <c r="F5" s="617"/>
      <c r="G5" s="617"/>
      <c r="H5" s="617"/>
      <c r="I5" s="617"/>
      <c r="J5" s="21"/>
    </row>
    <row r="6" spans="1:10" x14ac:dyDescent="0.2">
      <c r="A6" s="21"/>
      <c r="B6" s="584"/>
      <c r="C6" s="584"/>
      <c r="D6" s="584"/>
      <c r="E6" s="584"/>
      <c r="F6" s="584"/>
      <c r="G6" s="584"/>
      <c r="H6" s="584"/>
      <c r="I6" s="584"/>
      <c r="J6" s="21"/>
    </row>
    <row r="7" spans="1:10" x14ac:dyDescent="0.2">
      <c r="A7" s="21"/>
      <c r="B7" s="585" t="s">
        <v>4</v>
      </c>
      <c r="C7" s="604" t="str">
        <f>+ENTE!D8</f>
        <v xml:space="preserve">UNIVERSIDAD TECNOLÓGICA DE SAN JUAN DEL RÍO </v>
      </c>
      <c r="D7" s="604"/>
      <c r="E7" s="604"/>
      <c r="F7" s="604"/>
      <c r="G7" s="604"/>
      <c r="H7" s="604"/>
      <c r="I7" s="604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771" t="s">
        <v>783</v>
      </c>
      <c r="C9" s="771"/>
      <c r="D9" s="771" t="s">
        <v>806</v>
      </c>
      <c r="E9" s="771"/>
      <c r="F9" s="771" t="s">
        <v>805</v>
      </c>
      <c r="G9" s="771"/>
      <c r="H9" s="771" t="s">
        <v>804</v>
      </c>
      <c r="I9" s="771"/>
      <c r="J9" s="21"/>
    </row>
    <row r="10" spans="1:10" x14ac:dyDescent="0.2">
      <c r="A10" s="21"/>
      <c r="B10" s="771"/>
      <c r="C10" s="771"/>
      <c r="D10" s="771" t="s">
        <v>52</v>
      </c>
      <c r="E10" s="771"/>
      <c r="F10" s="771" t="s">
        <v>44</v>
      </c>
      <c r="G10" s="771"/>
      <c r="H10" s="771" t="s">
        <v>803</v>
      </c>
      <c r="I10" s="771"/>
      <c r="J10" s="21"/>
    </row>
    <row r="11" spans="1:10" x14ac:dyDescent="0.2">
      <c r="A11" s="21"/>
      <c r="B11" s="772" t="s">
        <v>782</v>
      </c>
      <c r="C11" s="773"/>
      <c r="D11" s="773"/>
      <c r="E11" s="773"/>
      <c r="F11" s="773"/>
      <c r="G11" s="773"/>
      <c r="H11" s="773"/>
      <c r="I11" s="774"/>
      <c r="J11" s="21"/>
    </row>
    <row r="12" spans="1:10" x14ac:dyDescent="0.2">
      <c r="A12" s="21"/>
      <c r="B12" s="775"/>
      <c r="C12" s="776"/>
      <c r="D12" s="777"/>
      <c r="E12" s="777"/>
      <c r="F12" s="777"/>
      <c r="G12" s="777"/>
      <c r="H12" s="778">
        <f t="shared" ref="H12:H21" si="0">+D12-F12</f>
        <v>0</v>
      </c>
      <c r="I12" s="779"/>
      <c r="J12" s="21"/>
    </row>
    <row r="13" spans="1:10" x14ac:dyDescent="0.2">
      <c r="A13" s="21"/>
      <c r="B13" s="780"/>
      <c r="C13" s="781"/>
      <c r="D13" s="782"/>
      <c r="E13" s="782"/>
      <c r="F13" s="782"/>
      <c r="G13" s="782"/>
      <c r="H13" s="783">
        <f t="shared" si="0"/>
        <v>0</v>
      </c>
      <c r="I13" s="784"/>
      <c r="J13" s="21"/>
    </row>
    <row r="14" spans="1:10" x14ac:dyDescent="0.2">
      <c r="A14" s="21"/>
      <c r="B14" s="780"/>
      <c r="C14" s="781"/>
      <c r="D14" s="782"/>
      <c r="E14" s="782"/>
      <c r="F14" s="782"/>
      <c r="G14" s="782"/>
      <c r="H14" s="783">
        <f t="shared" si="0"/>
        <v>0</v>
      </c>
      <c r="I14" s="784"/>
      <c r="J14" s="21"/>
    </row>
    <row r="15" spans="1:10" x14ac:dyDescent="0.2">
      <c r="A15" s="21"/>
      <c r="B15" s="780"/>
      <c r="C15" s="781"/>
      <c r="D15" s="782"/>
      <c r="E15" s="782"/>
      <c r="F15" s="782"/>
      <c r="G15" s="782"/>
      <c r="H15" s="783">
        <f t="shared" si="0"/>
        <v>0</v>
      </c>
      <c r="I15" s="784"/>
      <c r="J15" s="21"/>
    </row>
    <row r="16" spans="1:10" x14ac:dyDescent="0.2">
      <c r="A16" s="21"/>
      <c r="B16" s="780"/>
      <c r="C16" s="781"/>
      <c r="D16" s="782"/>
      <c r="E16" s="782"/>
      <c r="F16" s="782"/>
      <c r="G16" s="782"/>
      <c r="H16" s="783">
        <f t="shared" si="0"/>
        <v>0</v>
      </c>
      <c r="I16" s="784"/>
      <c r="J16" s="21"/>
    </row>
    <row r="17" spans="1:10" x14ac:dyDescent="0.2">
      <c r="A17" s="21"/>
      <c r="B17" s="780"/>
      <c r="C17" s="781"/>
      <c r="D17" s="782"/>
      <c r="E17" s="782"/>
      <c r="F17" s="782"/>
      <c r="G17" s="782"/>
      <c r="H17" s="783">
        <f t="shared" si="0"/>
        <v>0</v>
      </c>
      <c r="I17" s="784"/>
      <c r="J17" s="21"/>
    </row>
    <row r="18" spans="1:10" x14ac:dyDescent="0.2">
      <c r="A18" s="21"/>
      <c r="B18" s="780"/>
      <c r="C18" s="781"/>
      <c r="D18" s="782"/>
      <c r="E18" s="782"/>
      <c r="F18" s="782"/>
      <c r="G18" s="782"/>
      <c r="H18" s="783">
        <f t="shared" si="0"/>
        <v>0</v>
      </c>
      <c r="I18" s="784"/>
      <c r="J18" s="21"/>
    </row>
    <row r="19" spans="1:10" x14ac:dyDescent="0.2">
      <c r="A19" s="21"/>
      <c r="B19" s="780"/>
      <c r="C19" s="781"/>
      <c r="D19" s="782"/>
      <c r="E19" s="782"/>
      <c r="F19" s="782"/>
      <c r="G19" s="782"/>
      <c r="H19" s="783">
        <f t="shared" si="0"/>
        <v>0</v>
      </c>
      <c r="I19" s="784"/>
      <c r="J19" s="21"/>
    </row>
    <row r="20" spans="1:10" x14ac:dyDescent="0.2">
      <c r="A20" s="21"/>
      <c r="B20" s="780"/>
      <c r="C20" s="781"/>
      <c r="D20" s="782"/>
      <c r="E20" s="782"/>
      <c r="F20" s="782"/>
      <c r="G20" s="782"/>
      <c r="H20" s="783">
        <f t="shared" si="0"/>
        <v>0</v>
      </c>
      <c r="I20" s="784"/>
      <c r="J20" s="21"/>
    </row>
    <row r="21" spans="1:10" x14ac:dyDescent="0.2">
      <c r="A21" s="21"/>
      <c r="B21" s="766" t="s">
        <v>802</v>
      </c>
      <c r="C21" s="767"/>
      <c r="D21" s="783">
        <f>SUM(D12:E20)</f>
        <v>0</v>
      </c>
      <c r="E21" s="783"/>
      <c r="F21" s="783">
        <f>SUM(F12:G20)</f>
        <v>0</v>
      </c>
      <c r="G21" s="783"/>
      <c r="H21" s="783">
        <f t="shared" si="0"/>
        <v>0</v>
      </c>
      <c r="I21" s="784"/>
      <c r="J21" s="21"/>
    </row>
    <row r="22" spans="1:10" x14ac:dyDescent="0.2">
      <c r="A22" s="21"/>
      <c r="B22" s="785"/>
      <c r="C22" s="786"/>
      <c r="D22" s="786"/>
      <c r="E22" s="786"/>
      <c r="F22" s="786"/>
      <c r="G22" s="786"/>
      <c r="H22" s="786"/>
      <c r="I22" s="787"/>
      <c r="J22" s="21"/>
    </row>
    <row r="23" spans="1:10" x14ac:dyDescent="0.2">
      <c r="A23" s="21"/>
      <c r="B23" s="772" t="s">
        <v>780</v>
      </c>
      <c r="C23" s="773"/>
      <c r="D23" s="773"/>
      <c r="E23" s="773"/>
      <c r="F23" s="773"/>
      <c r="G23" s="773"/>
      <c r="H23" s="773"/>
      <c r="I23" s="774"/>
      <c r="J23" s="21"/>
    </row>
    <row r="24" spans="1:10" x14ac:dyDescent="0.2">
      <c r="A24" s="21"/>
      <c r="B24" s="775"/>
      <c r="C24" s="776"/>
      <c r="D24" s="777"/>
      <c r="E24" s="777"/>
      <c r="F24" s="777"/>
      <c r="G24" s="777"/>
      <c r="H24" s="778"/>
      <c r="I24" s="779"/>
      <c r="J24" s="21"/>
    </row>
    <row r="25" spans="1:10" x14ac:dyDescent="0.2">
      <c r="A25" s="21"/>
      <c r="B25" s="780"/>
      <c r="C25" s="781"/>
      <c r="D25" s="782"/>
      <c r="E25" s="782"/>
      <c r="F25" s="782"/>
      <c r="G25" s="782"/>
      <c r="H25" s="783">
        <f t="shared" ref="H25:H33" si="1">+D25-F25</f>
        <v>0</v>
      </c>
      <c r="I25" s="784"/>
      <c r="J25" s="21"/>
    </row>
    <row r="26" spans="1:10" x14ac:dyDescent="0.2">
      <c r="A26" s="21"/>
      <c r="B26" s="780"/>
      <c r="C26" s="781"/>
      <c r="D26" s="782"/>
      <c r="E26" s="782"/>
      <c r="F26" s="782"/>
      <c r="G26" s="782"/>
      <c r="H26" s="783">
        <f t="shared" si="1"/>
        <v>0</v>
      </c>
      <c r="I26" s="784"/>
      <c r="J26" s="21"/>
    </row>
    <row r="27" spans="1:10" x14ac:dyDescent="0.2">
      <c r="A27" s="21"/>
      <c r="B27" s="780"/>
      <c r="C27" s="781"/>
      <c r="D27" s="782"/>
      <c r="E27" s="782"/>
      <c r="F27" s="782"/>
      <c r="G27" s="782"/>
      <c r="H27" s="783">
        <f t="shared" si="1"/>
        <v>0</v>
      </c>
      <c r="I27" s="784"/>
      <c r="J27" s="21"/>
    </row>
    <row r="28" spans="1:10" x14ac:dyDescent="0.2">
      <c r="A28" s="21"/>
      <c r="B28" s="780"/>
      <c r="C28" s="781"/>
      <c r="D28" s="782"/>
      <c r="E28" s="782"/>
      <c r="F28" s="782"/>
      <c r="G28" s="782"/>
      <c r="H28" s="783">
        <f t="shared" si="1"/>
        <v>0</v>
      </c>
      <c r="I28" s="784"/>
      <c r="J28" s="21"/>
    </row>
    <row r="29" spans="1:10" x14ac:dyDescent="0.2">
      <c r="A29" s="21"/>
      <c r="B29" s="780"/>
      <c r="C29" s="781"/>
      <c r="D29" s="782"/>
      <c r="E29" s="782"/>
      <c r="F29" s="782"/>
      <c r="G29" s="782"/>
      <c r="H29" s="783">
        <f t="shared" si="1"/>
        <v>0</v>
      </c>
      <c r="I29" s="784"/>
      <c r="J29" s="21"/>
    </row>
    <row r="30" spans="1:10" x14ac:dyDescent="0.2">
      <c r="A30" s="21"/>
      <c r="B30" s="780"/>
      <c r="C30" s="781"/>
      <c r="D30" s="782"/>
      <c r="E30" s="782"/>
      <c r="F30" s="782"/>
      <c r="G30" s="782"/>
      <c r="H30" s="783">
        <f t="shared" si="1"/>
        <v>0</v>
      </c>
      <c r="I30" s="784"/>
      <c r="J30" s="21"/>
    </row>
    <row r="31" spans="1:10" x14ac:dyDescent="0.2">
      <c r="A31" s="21"/>
      <c r="B31" s="780"/>
      <c r="C31" s="781"/>
      <c r="D31" s="782"/>
      <c r="E31" s="782"/>
      <c r="F31" s="782"/>
      <c r="G31" s="782"/>
      <c r="H31" s="783">
        <f t="shared" si="1"/>
        <v>0</v>
      </c>
      <c r="I31" s="784"/>
      <c r="J31" s="21"/>
    </row>
    <row r="32" spans="1:10" x14ac:dyDescent="0.2">
      <c r="A32" s="21"/>
      <c r="B32" s="780"/>
      <c r="C32" s="781"/>
      <c r="D32" s="782"/>
      <c r="E32" s="782"/>
      <c r="F32" s="782"/>
      <c r="G32" s="782"/>
      <c r="H32" s="783">
        <f t="shared" si="1"/>
        <v>0</v>
      </c>
      <c r="I32" s="784"/>
      <c r="J32" s="21"/>
    </row>
    <row r="33" spans="1:10" x14ac:dyDescent="0.2">
      <c r="A33" s="21"/>
      <c r="B33" s="766" t="s">
        <v>801</v>
      </c>
      <c r="C33" s="767"/>
      <c r="D33" s="783">
        <f>SUM(D24:E32)</f>
        <v>0</v>
      </c>
      <c r="E33" s="783"/>
      <c r="F33" s="783">
        <f>SUM(F24:G32)</f>
        <v>0</v>
      </c>
      <c r="G33" s="783"/>
      <c r="H33" s="783">
        <f t="shared" si="1"/>
        <v>0</v>
      </c>
      <c r="I33" s="784"/>
      <c r="J33" s="21"/>
    </row>
    <row r="34" spans="1:10" x14ac:dyDescent="0.2">
      <c r="A34" s="21"/>
      <c r="B34" s="766"/>
      <c r="C34" s="767"/>
      <c r="D34" s="783"/>
      <c r="E34" s="783"/>
      <c r="F34" s="783"/>
      <c r="G34" s="783"/>
      <c r="H34" s="783"/>
      <c r="I34" s="784"/>
      <c r="J34" s="21"/>
    </row>
    <row r="35" spans="1:10" x14ac:dyDescent="0.2">
      <c r="A35" s="21"/>
      <c r="B35" s="762" t="s">
        <v>778</v>
      </c>
      <c r="C35" s="629"/>
      <c r="D35" s="789">
        <f>+D21+D33</f>
        <v>0</v>
      </c>
      <c r="E35" s="789"/>
      <c r="F35" s="789">
        <f>+F21+F33</f>
        <v>0</v>
      </c>
      <c r="G35" s="789"/>
      <c r="H35" s="789">
        <f>+H21+H33</f>
        <v>0</v>
      </c>
      <c r="I35" s="790"/>
      <c r="J35" s="21"/>
    </row>
    <row r="36" spans="1:10" ht="12" customHeight="1" x14ac:dyDescent="0.2">
      <c r="B36" s="761" t="s">
        <v>149</v>
      </c>
      <c r="C36" s="761"/>
      <c r="D36" s="761"/>
      <c r="E36" s="761"/>
      <c r="F36" s="761"/>
      <c r="G36" s="761"/>
      <c r="H36" s="761"/>
      <c r="I36" s="761"/>
    </row>
    <row r="37" spans="1:10" ht="12" customHeight="1" x14ac:dyDescent="0.2">
      <c r="B37" s="586"/>
      <c r="C37" s="586"/>
      <c r="D37" s="586"/>
      <c r="E37" s="586"/>
      <c r="F37" s="586"/>
      <c r="G37" s="586"/>
      <c r="H37" s="586"/>
      <c r="I37" s="586"/>
    </row>
    <row r="38" spans="1:10" ht="12" customHeight="1" x14ac:dyDescent="0.2">
      <c r="B38" s="586"/>
      <c r="C38" s="586"/>
      <c r="D38" s="586"/>
      <c r="E38" s="586"/>
      <c r="F38" s="586"/>
      <c r="G38" s="586"/>
      <c r="H38" s="586"/>
      <c r="I38" s="586"/>
    </row>
    <row r="39" spans="1:10" ht="12" customHeight="1" x14ac:dyDescent="0.2">
      <c r="B39" s="586"/>
      <c r="C39" s="586"/>
      <c r="D39" s="586"/>
      <c r="E39" s="586"/>
      <c r="F39" s="586"/>
      <c r="G39" s="586"/>
      <c r="H39" s="586"/>
      <c r="I39" s="586"/>
    </row>
    <row r="40" spans="1:10" ht="12" customHeight="1" x14ac:dyDescent="0.2">
      <c r="B40" s="586"/>
      <c r="C40" s="586"/>
      <c r="D40" s="586"/>
      <c r="E40" s="586"/>
      <c r="F40" s="586"/>
      <c r="G40" s="586"/>
      <c r="H40" s="586"/>
      <c r="I40" s="586"/>
    </row>
    <row r="42" spans="1:10" x14ac:dyDescent="0.2">
      <c r="B42" s="788"/>
      <c r="C42" s="788"/>
      <c r="D42" s="788"/>
      <c r="E42" s="63"/>
      <c r="F42" s="786"/>
      <c r="G42" s="786"/>
      <c r="H42" s="63"/>
      <c r="I42" s="63"/>
    </row>
    <row r="43" spans="1:10" ht="15" customHeight="1" x14ac:dyDescent="0.2">
      <c r="B43" s="713" t="str">
        <f>+ENTE!D10</f>
        <v xml:space="preserve">M. EN A.  GONZALO FERREIRA MARTÍNEZ </v>
      </c>
      <c r="C43" s="713"/>
      <c r="D43" s="713"/>
      <c r="E43" s="25"/>
      <c r="F43" s="713" t="str">
        <f>+ENTE!D14</f>
        <v>C.P.  ELDA GRACIELA FLORES HERNÁNDEZ</v>
      </c>
      <c r="G43" s="713"/>
      <c r="H43" s="713"/>
      <c r="I43" s="713"/>
    </row>
    <row r="44" spans="1:10" ht="15" customHeight="1" x14ac:dyDescent="0.2">
      <c r="B44" s="714" t="str">
        <f>+ENTE!D12</f>
        <v>DIRECTOR DE ADMINISTRACIÓN  Y FINANZAS</v>
      </c>
      <c r="C44" s="714"/>
      <c r="D44" s="714"/>
      <c r="E44" s="70"/>
      <c r="F44" s="714" t="str">
        <f>+ENTE!D16</f>
        <v>JEFA DEL DEPARTAMENTO DE ADMINISTRACIÓN FINANCIERA</v>
      </c>
      <c r="G44" s="714"/>
      <c r="H44" s="714"/>
      <c r="I44" s="714"/>
    </row>
    <row r="45" spans="1:10" x14ac:dyDescent="0.2">
      <c r="C45" s="20"/>
      <c r="D45" s="20"/>
      <c r="E45" s="587"/>
      <c r="F45" s="20"/>
      <c r="G45" s="20"/>
      <c r="H45" s="21"/>
      <c r="I45" s="21"/>
    </row>
  </sheetData>
  <sheetProtection algorithmName="SHA-512" hashValue="iwFp9/w1lY1yxzOeo3WHbMZ/BoEZHEYbAI2F38JQO1ky+eSvI15T2pb6GYJoqb9Tv5b5uTPCLLAy45AteFq2uw==" saltValue="erV+ZGuPC1e+O4OBxkr3WQ==" spinCount="100000" sheet="1" objects="1" scenarios="1" selectLockedCells="1"/>
  <mergeCells count="114">
    <mergeCell ref="B36:I36"/>
    <mergeCell ref="F42:G42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H35:I35"/>
    <mergeCell ref="B34:C34"/>
    <mergeCell ref="D34:E34"/>
    <mergeCell ref="F34:G34"/>
    <mergeCell ref="H34:I34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21"/>
  <sheetViews>
    <sheetView topLeftCell="B1" zoomScaleNormal="100" workbookViewId="0">
      <selection activeCell="E11" sqref="E11:K11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88"/>
    <col min="6" max="6" width="14.140625" style="181" bestFit="1" customWidth="1"/>
    <col min="7" max="11" width="15.140625" style="181" bestFit="1" customWidth="1"/>
    <col min="12" max="16384" width="11.42578125" style="181"/>
  </cols>
  <sheetData>
    <row r="2" spans="5:11" x14ac:dyDescent="0.25">
      <c r="E2" s="792" t="s">
        <v>800</v>
      </c>
      <c r="F2" s="792"/>
      <c r="G2" s="792"/>
      <c r="H2" s="792"/>
      <c r="I2" s="792"/>
      <c r="J2" s="792"/>
      <c r="K2" s="792"/>
    </row>
    <row r="5" spans="5:11" x14ac:dyDescent="0.25">
      <c r="E5" s="791" t="s">
        <v>787</v>
      </c>
      <c r="F5" s="791"/>
      <c r="G5" s="791"/>
      <c r="H5" s="791"/>
      <c r="I5" s="791"/>
      <c r="J5" s="791"/>
      <c r="K5" s="791"/>
    </row>
    <row r="6" spans="5:11" x14ac:dyDescent="0.25">
      <c r="E6" s="588" t="s">
        <v>798</v>
      </c>
      <c r="F6" s="589">
        <f>+EAI!E28</f>
        <v>130204948.28999999</v>
      </c>
      <c r="G6" s="589">
        <f>+EAI!F28</f>
        <v>138994957.66</v>
      </c>
      <c r="H6" s="589">
        <f>+EAI!G28</f>
        <v>269199905.94999999</v>
      </c>
      <c r="I6" s="589">
        <f>+EAI!H28</f>
        <v>166248049.06</v>
      </c>
      <c r="J6" s="589">
        <f>+EAI!I28</f>
        <v>138994957.66</v>
      </c>
      <c r="K6" s="589">
        <f>+EAI!J28</f>
        <v>8790009.3700000048</v>
      </c>
    </row>
    <row r="7" spans="5:11" x14ac:dyDescent="0.25">
      <c r="E7" s="588" t="s">
        <v>799</v>
      </c>
      <c r="F7" s="589">
        <f>+EAID!D75</f>
        <v>130204948.28999999</v>
      </c>
      <c r="G7" s="589">
        <f>+EAID!E75</f>
        <v>138994957.66</v>
      </c>
      <c r="H7" s="589">
        <f>+EAID!F75</f>
        <v>269199905.94999999</v>
      </c>
      <c r="I7" s="589">
        <f>+EAID!G75</f>
        <v>166248049.06</v>
      </c>
      <c r="J7" s="589">
        <f>+EAID!H75</f>
        <v>138994957.66</v>
      </c>
      <c r="K7" s="589">
        <f>+EAID!I75</f>
        <v>8790009.3700000048</v>
      </c>
    </row>
    <row r="8" spans="5:11" x14ac:dyDescent="0.25">
      <c r="E8" s="590"/>
      <c r="F8" s="591" t="str">
        <f t="shared" ref="F8:K8" si="0">+IF(F6=F7,"OK","ERROR")</f>
        <v>OK</v>
      </c>
      <c r="G8" s="591" t="str">
        <f t="shared" si="0"/>
        <v>OK</v>
      </c>
      <c r="H8" s="591" t="str">
        <f t="shared" si="0"/>
        <v>OK</v>
      </c>
      <c r="I8" s="591" t="str">
        <f t="shared" si="0"/>
        <v>OK</v>
      </c>
      <c r="J8" s="591" t="str">
        <f t="shared" si="0"/>
        <v>OK</v>
      </c>
      <c r="K8" s="591" t="str">
        <f t="shared" si="0"/>
        <v>OK</v>
      </c>
    </row>
    <row r="9" spans="5:11" x14ac:dyDescent="0.25">
      <c r="E9" s="592"/>
      <c r="F9" s="593"/>
      <c r="G9" s="593"/>
      <c r="H9" s="593"/>
      <c r="I9" s="593"/>
      <c r="J9" s="593"/>
      <c r="K9" s="593"/>
    </row>
    <row r="10" spans="5:11" x14ac:dyDescent="0.25">
      <c r="E10" s="592"/>
      <c r="F10" s="593"/>
      <c r="G10" s="593"/>
      <c r="H10" s="593"/>
      <c r="I10" s="593"/>
      <c r="J10" s="593"/>
      <c r="K10" s="593"/>
    </row>
    <row r="11" spans="5:11" x14ac:dyDescent="0.25">
      <c r="E11" s="791" t="s">
        <v>788</v>
      </c>
      <c r="F11" s="791"/>
      <c r="G11" s="791"/>
      <c r="H11" s="791"/>
      <c r="I11" s="791"/>
      <c r="J11" s="791"/>
      <c r="K11" s="791"/>
    </row>
    <row r="12" spans="5:11" x14ac:dyDescent="0.25">
      <c r="E12" s="588" t="s">
        <v>790</v>
      </c>
      <c r="F12" s="589">
        <f>+CAdmon!D77</f>
        <v>0</v>
      </c>
      <c r="G12" s="589">
        <f>+CAdmon!E77</f>
        <v>0</v>
      </c>
      <c r="H12" s="589">
        <f>+CAdmon!F77</f>
        <v>0</v>
      </c>
      <c r="I12" s="589">
        <f>+CAdmon!G77</f>
        <v>0</v>
      </c>
      <c r="J12" s="589">
        <f>+CAdmon!H77</f>
        <v>0</v>
      </c>
      <c r="K12" s="589">
        <f>+CAdmon!I77</f>
        <v>0</v>
      </c>
    </row>
    <row r="13" spans="5:11" x14ac:dyDescent="0.25">
      <c r="E13" s="588" t="s">
        <v>789</v>
      </c>
      <c r="F13" s="589">
        <f>+CA!C35</f>
        <v>0</v>
      </c>
      <c r="G13" s="589">
        <f>+CA!D35</f>
        <v>0</v>
      </c>
      <c r="H13" s="589">
        <f>+CA!E35</f>
        <v>0</v>
      </c>
      <c r="I13" s="589">
        <f>+CA!F35</f>
        <v>0</v>
      </c>
      <c r="J13" s="589">
        <f>+CA!G35</f>
        <v>0</v>
      </c>
      <c r="K13" s="589">
        <f>+CA!H35</f>
        <v>0</v>
      </c>
    </row>
    <row r="14" spans="5:11" x14ac:dyDescent="0.25">
      <c r="E14" s="588" t="s">
        <v>791</v>
      </c>
      <c r="F14" s="589">
        <f>+CTG!D23</f>
        <v>130204948.29000001</v>
      </c>
      <c r="G14" s="589">
        <f>+CTG!E23</f>
        <v>8790009.3699999992</v>
      </c>
      <c r="H14" s="589">
        <f>+CTG!F23</f>
        <v>138994957.66</v>
      </c>
      <c r="I14" s="589">
        <f>+CTG!G23</f>
        <v>26471793.890000001</v>
      </c>
      <c r="J14" s="589">
        <f>+CTG!H23</f>
        <v>26471793.890000001</v>
      </c>
      <c r="K14" s="589">
        <f>+CTG!I23</f>
        <v>112523163.77</v>
      </c>
    </row>
    <row r="15" spans="5:11" x14ac:dyDescent="0.25">
      <c r="E15" s="588" t="s">
        <v>792</v>
      </c>
      <c r="F15" s="589">
        <f>+COG!D84</f>
        <v>130204948.28999999</v>
      </c>
      <c r="G15" s="589">
        <f>+COG!E84</f>
        <v>8790009.3699999992</v>
      </c>
      <c r="H15" s="589">
        <f>+COG!F84</f>
        <v>138994957.66</v>
      </c>
      <c r="I15" s="589">
        <f>+COG!G84</f>
        <v>26471793.890000001</v>
      </c>
      <c r="J15" s="589">
        <f>+COG!H84</f>
        <v>26471793.890000001</v>
      </c>
      <c r="K15" s="589">
        <f>+COG!I84</f>
        <v>112523163.77000001</v>
      </c>
    </row>
    <row r="16" spans="5:11" x14ac:dyDescent="0.25">
      <c r="E16" s="588" t="s">
        <v>793</v>
      </c>
      <c r="F16" s="589">
        <f>+COGCC!D176</f>
        <v>130204948.28999999</v>
      </c>
      <c r="G16" s="589">
        <f>+COGCC!E176</f>
        <v>8790009.3699999992</v>
      </c>
      <c r="H16" s="589">
        <f>+COGCC!F176</f>
        <v>138994957.66</v>
      </c>
      <c r="I16" s="589">
        <f>+COGCC!G176</f>
        <v>26471793.890000001</v>
      </c>
      <c r="J16" s="589">
        <f>+COGCC!H176</f>
        <v>26471793.890000001</v>
      </c>
      <c r="K16" s="589">
        <f>+COGCC!I176</f>
        <v>112523163.77</v>
      </c>
    </row>
    <row r="17" spans="5:11" x14ac:dyDescent="0.25">
      <c r="E17" s="588" t="s">
        <v>794</v>
      </c>
      <c r="F17" s="589">
        <f>+CFG!D45</f>
        <v>130204948.29000001</v>
      </c>
      <c r="G17" s="589">
        <f>+CFG!E45</f>
        <v>8790009.3699999992</v>
      </c>
      <c r="H17" s="589">
        <f>+CFG!F45</f>
        <v>138994957.66</v>
      </c>
      <c r="I17" s="589">
        <f>+CFG!G45</f>
        <v>26471793.890000001</v>
      </c>
      <c r="J17" s="589">
        <f>+CFG!H45</f>
        <v>26471793.890000001</v>
      </c>
      <c r="K17" s="589">
        <f>+CFG!I45</f>
        <v>112523163.77</v>
      </c>
    </row>
    <row r="18" spans="5:11" x14ac:dyDescent="0.25">
      <c r="E18" s="588" t="s">
        <v>795</v>
      </c>
      <c r="F18" s="589">
        <f>+CFFF!D78</f>
        <v>130204948.29000001</v>
      </c>
      <c r="G18" s="589">
        <f>+CFFF!E78</f>
        <v>8790009.3699999992</v>
      </c>
      <c r="H18" s="589">
        <f>+CFFF!F78</f>
        <v>138994957.66</v>
      </c>
      <c r="I18" s="589">
        <f>+CFFF!G78</f>
        <v>26471793.890000001</v>
      </c>
      <c r="J18" s="589">
        <f>+CFFF!H78</f>
        <v>26471793.890000001</v>
      </c>
      <c r="K18" s="589">
        <f>+CFFF!I78</f>
        <v>112523163.77</v>
      </c>
    </row>
    <row r="19" spans="5:11" x14ac:dyDescent="0.25">
      <c r="E19" s="588" t="s">
        <v>796</v>
      </c>
      <c r="F19" s="589">
        <f>+CProg!E43</f>
        <v>130204948.29000001</v>
      </c>
      <c r="G19" s="589">
        <f>+CProg!F43</f>
        <v>8790009.3699999992</v>
      </c>
      <c r="H19" s="589">
        <f>+CProg!G43</f>
        <v>138994957.66</v>
      </c>
      <c r="I19" s="589">
        <f>+CProg!H43</f>
        <v>26471793.890000001</v>
      </c>
      <c r="J19" s="589">
        <f>+CProg!I43</f>
        <v>26471793.890000001</v>
      </c>
      <c r="K19" s="589">
        <f>+CProg!J43</f>
        <v>112523163.77</v>
      </c>
    </row>
    <row r="20" spans="5:11" x14ac:dyDescent="0.25">
      <c r="E20" s="588" t="s">
        <v>797</v>
      </c>
      <c r="F20" s="589">
        <f>+CFF!D27</f>
        <v>130204948.29000001</v>
      </c>
      <c r="G20" s="589">
        <f>+CFF!E27</f>
        <v>8790009.370000001</v>
      </c>
      <c r="H20" s="589">
        <f>+CFF!F27</f>
        <v>138994957.66</v>
      </c>
      <c r="I20" s="589">
        <f>+CFF!G27</f>
        <v>26471793.890000015</v>
      </c>
      <c r="J20" s="589">
        <f>+CFF!H27</f>
        <v>26471793.890000015</v>
      </c>
      <c r="K20" s="589">
        <f>+CFF!I27</f>
        <v>112523163.77</v>
      </c>
    </row>
    <row r="21" spans="5:11" x14ac:dyDescent="0.25">
      <c r="E21" s="590"/>
      <c r="F21" s="591" t="b">
        <f>+IF(F12=F13,IF(F13=F14,IF(F14=F15,IF(F15=F16,IF(F16=F17,IF(F17=F18,IF(F18=F19,IF(F19=F20,"OK","ERROR"))))))))</f>
        <v>0</v>
      </c>
      <c r="G21" s="591" t="b">
        <f t="shared" ref="G21:K21" si="1">+IF(G12=G13,IF(G13=G14,IF(G14=G15,IF(G15=G16,IF(G16=G17,IF(G17=G18,IF(G18=G19,IF(G19=G20,"OK","ERROR"))))))))</f>
        <v>0</v>
      </c>
      <c r="H21" s="591" t="b">
        <f t="shared" si="1"/>
        <v>0</v>
      </c>
      <c r="I21" s="591" t="b">
        <f t="shared" si="1"/>
        <v>0</v>
      </c>
      <c r="J21" s="591" t="b">
        <f t="shared" si="1"/>
        <v>0</v>
      </c>
      <c r="K21" s="591" t="b">
        <f t="shared" si="1"/>
        <v>0</v>
      </c>
    </row>
  </sheetData>
  <sheetProtection algorithmName="SHA-512" hashValue="76/isiayNVgCiahrc1XiALi/vcCPZigWl02c2cxZoXbf+kkDd8Kq/Lgyh/6hOqkSIUc0b7SC9VhV5SWGWP9uAw==" saltValue="kqLNRMyjVVEw/r22F5rJjA==" spinCount="100000" sheet="1" objects="1" scenarios="1" selectLockedCells="1"/>
  <mergeCells count="3">
    <mergeCell ref="E11:K11"/>
    <mergeCell ref="E5:K5"/>
    <mergeCell ref="E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B4" zoomScale="130" zoomScaleNormal="130" workbookViewId="0">
      <selection activeCell="D16" sqref="D16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598" t="s">
        <v>775</v>
      </c>
      <c r="D2" s="598"/>
    </row>
    <row r="3" spans="3:4" ht="31.5" x14ac:dyDescent="0.5">
      <c r="C3" s="595" t="s">
        <v>776</v>
      </c>
      <c r="D3" s="595"/>
    </row>
    <row r="4" spans="3:4" ht="21" x14ac:dyDescent="0.2">
      <c r="C4" s="599" t="s">
        <v>3</v>
      </c>
      <c r="D4" s="599"/>
    </row>
    <row r="5" spans="3:4" x14ac:dyDescent="0.2">
      <c r="C5" s="600"/>
      <c r="D5" s="600"/>
    </row>
    <row r="6" spans="3:4" x14ac:dyDescent="0.2">
      <c r="C6" s="600"/>
      <c r="D6" s="600"/>
    </row>
    <row r="7" spans="3:4" x14ac:dyDescent="0.2">
      <c r="C7" s="600"/>
      <c r="D7" s="600"/>
    </row>
    <row r="8" spans="3:4" x14ac:dyDescent="0.2">
      <c r="C8" s="187" t="s">
        <v>355</v>
      </c>
      <c r="D8" s="328" t="s">
        <v>809</v>
      </c>
    </row>
    <row r="9" spans="3:4" ht="6.75" customHeight="1" x14ac:dyDescent="0.2"/>
    <row r="10" spans="3:4" x14ac:dyDescent="0.2">
      <c r="C10" s="187" t="s">
        <v>356</v>
      </c>
      <c r="D10" s="328" t="s">
        <v>810</v>
      </c>
    </row>
    <row r="11" spans="3:4" ht="6.75" customHeight="1" x14ac:dyDescent="0.2"/>
    <row r="12" spans="3:4" x14ac:dyDescent="0.2">
      <c r="C12" s="187" t="s">
        <v>357</v>
      </c>
      <c r="D12" s="328" t="s">
        <v>811</v>
      </c>
    </row>
    <row r="13" spans="3:4" ht="6.75" customHeight="1" x14ac:dyDescent="0.2"/>
    <row r="14" spans="3:4" x14ac:dyDescent="0.2">
      <c r="C14" s="187" t="s">
        <v>358</v>
      </c>
      <c r="D14" s="328" t="s">
        <v>812</v>
      </c>
    </row>
    <row r="15" spans="3:4" ht="6.75" customHeight="1" x14ac:dyDescent="0.2"/>
    <row r="16" spans="3:4" x14ac:dyDescent="0.2">
      <c r="C16" s="187" t="s">
        <v>359</v>
      </c>
      <c r="D16" s="328" t="s">
        <v>813</v>
      </c>
    </row>
    <row r="17" spans="3:4" ht="6.75" customHeight="1" x14ac:dyDescent="0.2"/>
    <row r="18" spans="3:4" x14ac:dyDescent="0.2">
      <c r="C18" s="187" t="s">
        <v>785</v>
      </c>
      <c r="D18" s="183">
        <v>1</v>
      </c>
    </row>
    <row r="19" spans="3:4" ht="6.75" customHeight="1" x14ac:dyDescent="0.2"/>
  </sheetData>
  <sheetProtection algorithmName="SHA-512" hashValue="gZxwMt5OaJ4QNxCcAnrx8wV99VCnPGS7LMtYSRjErUyeG0eyI9OqZvPaNqhPcXYvlRAWdmz0d0vfDtOWaJLMVQ==" saltValue="/DXTIpAyoyUncpHeq0x7qA==" spinCount="100000" sheet="1" objects="1" scenarios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3"/>
  <sheetViews>
    <sheetView showGridLines="0" view="pageBreakPreview" zoomScaleNormal="85" zoomScaleSheetLayoutView="100" workbookViewId="0">
      <selection activeCell="H49" sqref="H49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1.8554687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2:13" x14ac:dyDescent="0.2">
      <c r="C2" s="602" t="s">
        <v>367</v>
      </c>
      <c r="D2" s="602"/>
      <c r="E2" s="602"/>
      <c r="F2" s="602"/>
      <c r="G2" s="602"/>
      <c r="H2" s="602"/>
    </row>
    <row r="3" spans="2:13" x14ac:dyDescent="0.2">
      <c r="C3" s="603" t="s">
        <v>368</v>
      </c>
      <c r="D3" s="603"/>
      <c r="E3" s="603"/>
      <c r="F3" s="603"/>
      <c r="G3" s="603"/>
      <c r="H3" s="603"/>
    </row>
    <row r="4" spans="2:13" x14ac:dyDescent="0.2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</row>
    <row r="5" spans="2:13" x14ac:dyDescent="0.2">
      <c r="C5" s="603" t="s">
        <v>92</v>
      </c>
      <c r="D5" s="603"/>
      <c r="E5" s="603"/>
      <c r="F5" s="603"/>
      <c r="G5" s="603"/>
      <c r="H5" s="603"/>
    </row>
    <row r="6" spans="2:13" x14ac:dyDescent="0.2">
      <c r="C6" s="5"/>
    </row>
    <row r="7" spans="2:13" x14ac:dyDescent="0.2">
      <c r="B7" s="4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</row>
    <row r="8" spans="2:13" x14ac:dyDescent="0.2">
      <c r="C8" s="5"/>
    </row>
    <row r="9" spans="2:13" x14ac:dyDescent="0.2">
      <c r="B9" s="601" t="s">
        <v>367</v>
      </c>
      <c r="C9" s="601"/>
      <c r="D9" s="601">
        <v>2017</v>
      </c>
      <c r="E9" s="601"/>
      <c r="F9" s="601"/>
      <c r="G9" s="601"/>
      <c r="H9" s="601"/>
    </row>
    <row r="10" spans="2:13" ht="28.5" customHeight="1" x14ac:dyDescent="0.2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3" x14ac:dyDescent="0.2">
      <c r="B11" s="282"/>
      <c r="C11" s="285" t="s">
        <v>673</v>
      </c>
      <c r="D11" s="300"/>
      <c r="E11" s="300"/>
      <c r="F11" s="300"/>
      <c r="G11" s="300"/>
      <c r="H11" s="301"/>
      <c r="J11" s="9"/>
      <c r="K11" s="9"/>
      <c r="L11" s="9"/>
    </row>
    <row r="12" spans="2:13" x14ac:dyDescent="0.2">
      <c r="B12" s="282"/>
      <c r="C12" s="286" t="s">
        <v>674</v>
      </c>
      <c r="D12" s="300"/>
      <c r="E12" s="300"/>
      <c r="F12" s="300"/>
      <c r="G12" s="300"/>
      <c r="H12" s="301"/>
      <c r="J12" s="9"/>
      <c r="K12" s="9"/>
      <c r="L12" s="9"/>
    </row>
    <row r="13" spans="2:13" x14ac:dyDescent="0.2">
      <c r="B13" s="282">
        <v>11</v>
      </c>
      <c r="C13" s="289" t="s">
        <v>675</v>
      </c>
      <c r="D13" s="188"/>
      <c r="E13" s="188"/>
      <c r="F13" s="188"/>
      <c r="G13" s="188"/>
      <c r="H13" s="190"/>
      <c r="J13" s="9"/>
      <c r="K13" s="9"/>
      <c r="L13" s="9"/>
    </row>
    <row r="14" spans="2:13" x14ac:dyDescent="0.2">
      <c r="B14" s="282">
        <v>12</v>
      </c>
      <c r="C14" s="289" t="s">
        <v>676</v>
      </c>
      <c r="D14" s="188"/>
      <c r="E14" s="188"/>
      <c r="F14" s="188"/>
      <c r="G14" s="188"/>
      <c r="H14" s="190"/>
      <c r="J14" s="9"/>
      <c r="K14" s="9"/>
      <c r="L14" s="9"/>
    </row>
    <row r="15" spans="2:13" x14ac:dyDescent="0.2">
      <c r="B15" s="282">
        <v>13</v>
      </c>
      <c r="C15" s="289" t="s">
        <v>677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3" x14ac:dyDescent="0.2">
      <c r="B16" s="282">
        <v>14</v>
      </c>
      <c r="C16" s="289" t="s">
        <v>678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2">
        <v>15</v>
      </c>
      <c r="C17" s="289" t="s">
        <v>679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2">
        <v>16</v>
      </c>
      <c r="C18" s="289" t="s">
        <v>680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2">
        <v>17</v>
      </c>
      <c r="C19" s="289" t="s">
        <v>681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2">
        <v>18</v>
      </c>
      <c r="C20" s="289" t="s">
        <v>682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2">
        <v>19</v>
      </c>
      <c r="C21" s="290" t="s">
        <v>683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2"/>
      <c r="C22" s="286" t="s">
        <v>684</v>
      </c>
      <c r="D22" s="300"/>
      <c r="E22" s="300"/>
      <c r="F22" s="300"/>
      <c r="G22" s="300"/>
      <c r="H22" s="301"/>
      <c r="J22" s="9"/>
      <c r="K22" s="9"/>
      <c r="L22" s="9"/>
    </row>
    <row r="23" spans="2:12" x14ac:dyDescent="0.2">
      <c r="B23" s="282">
        <v>21</v>
      </c>
      <c r="C23" s="289" t="s">
        <v>685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2">
        <v>22</v>
      </c>
      <c r="C24" s="289" t="s">
        <v>686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2">
        <v>23</v>
      </c>
      <c r="C25" s="289" t="s">
        <v>687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2">
        <v>24</v>
      </c>
      <c r="C26" s="289" t="s">
        <v>688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2">
        <v>25</v>
      </c>
      <c r="C27" s="289" t="s">
        <v>689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2"/>
      <c r="C28" s="286" t="s">
        <v>690</v>
      </c>
      <c r="D28" s="300"/>
      <c r="E28" s="300"/>
      <c r="F28" s="300"/>
      <c r="G28" s="300"/>
      <c r="H28" s="301"/>
      <c r="J28" s="9"/>
      <c r="K28" s="9"/>
      <c r="L28" s="9"/>
    </row>
    <row r="29" spans="2:12" x14ac:dyDescent="0.2">
      <c r="B29" s="282">
        <v>31</v>
      </c>
      <c r="C29" s="289" t="s">
        <v>691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2">
        <v>39</v>
      </c>
      <c r="C30" s="290" t="s">
        <v>692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2"/>
      <c r="C31" s="286" t="s">
        <v>693</v>
      </c>
      <c r="D31" s="300"/>
      <c r="E31" s="300"/>
      <c r="F31" s="300"/>
      <c r="G31" s="300"/>
      <c r="H31" s="301"/>
      <c r="J31" s="9"/>
      <c r="K31" s="9"/>
      <c r="L31" s="9"/>
    </row>
    <row r="32" spans="2:12" x14ac:dyDescent="0.2">
      <c r="B32" s="282">
        <v>41</v>
      </c>
      <c r="C32" s="289" t="s">
        <v>694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2">
        <v>42</v>
      </c>
      <c r="C33" s="289" t="s">
        <v>695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2">
        <v>43</v>
      </c>
      <c r="C34" s="289" t="s">
        <v>696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2">
        <v>44</v>
      </c>
      <c r="C35" s="289" t="s">
        <v>697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2">
        <v>45</v>
      </c>
      <c r="C36" s="289" t="s">
        <v>698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2">
        <v>49</v>
      </c>
      <c r="C37" s="290" t="s">
        <v>699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2"/>
      <c r="C38" s="286" t="s">
        <v>700</v>
      </c>
      <c r="D38" s="300"/>
      <c r="E38" s="300"/>
      <c r="F38" s="300"/>
      <c r="G38" s="300"/>
      <c r="H38" s="301"/>
      <c r="J38" s="9"/>
      <c r="K38" s="9"/>
      <c r="L38" s="9"/>
    </row>
    <row r="39" spans="2:12" x14ac:dyDescent="0.2">
      <c r="B39" s="282">
        <v>51</v>
      </c>
      <c r="C39" s="289" t="s">
        <v>701</v>
      </c>
      <c r="D39" s="188"/>
      <c r="E39" s="188"/>
      <c r="F39" s="188"/>
      <c r="G39" s="188"/>
      <c r="H39" s="190"/>
      <c r="J39" s="9"/>
      <c r="K39" s="9"/>
      <c r="L39" s="9"/>
    </row>
    <row r="40" spans="2:12" x14ac:dyDescent="0.2">
      <c r="B40" s="282">
        <v>52</v>
      </c>
      <c r="C40" s="289" t="s">
        <v>702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2">
        <v>59</v>
      </c>
      <c r="C41" s="290" t="s">
        <v>703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2"/>
      <c r="C42" s="302" t="s">
        <v>704</v>
      </c>
      <c r="D42" s="300"/>
      <c r="E42" s="300"/>
      <c r="F42" s="300"/>
      <c r="G42" s="300"/>
      <c r="H42" s="301"/>
      <c r="J42" s="9"/>
      <c r="K42" s="9"/>
      <c r="L42" s="9"/>
    </row>
    <row r="43" spans="2:12" x14ac:dyDescent="0.2">
      <c r="B43" s="282">
        <v>61</v>
      </c>
      <c r="C43" s="287" t="s">
        <v>705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3">
        <v>62</v>
      </c>
      <c r="C44" s="287" t="s">
        <v>706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3">
        <v>69</v>
      </c>
      <c r="C45" s="288" t="s">
        <v>707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3"/>
      <c r="C46" s="286" t="s">
        <v>708</v>
      </c>
      <c r="D46" s="300"/>
      <c r="E46" s="300"/>
      <c r="F46" s="300"/>
      <c r="G46" s="300"/>
      <c r="H46" s="301"/>
      <c r="J46" s="9"/>
      <c r="K46" s="9"/>
      <c r="L46" s="9"/>
    </row>
    <row r="47" spans="2:12" x14ac:dyDescent="0.2">
      <c r="B47" s="283">
        <v>71</v>
      </c>
      <c r="C47" s="289" t="s">
        <v>709</v>
      </c>
      <c r="D47" s="188">
        <v>23401388.66</v>
      </c>
      <c r="E47" s="188">
        <v>-17360712.600000001</v>
      </c>
      <c r="F47" s="188">
        <v>23601180.91</v>
      </c>
      <c r="G47" s="188">
        <v>-6040676.0599999996</v>
      </c>
      <c r="H47" s="188">
        <v>-23601180.91</v>
      </c>
      <c r="J47" s="9"/>
      <c r="K47" s="9"/>
      <c r="L47" s="9"/>
    </row>
    <row r="48" spans="2:12" x14ac:dyDescent="0.2">
      <c r="B48" s="283">
        <v>72</v>
      </c>
      <c r="C48" s="289" t="s">
        <v>710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3">
        <v>73</v>
      </c>
      <c r="C49" s="290" t="s">
        <v>711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3"/>
      <c r="C50" s="286" t="s">
        <v>712</v>
      </c>
      <c r="D50" s="300"/>
      <c r="E50" s="300"/>
      <c r="F50" s="300"/>
      <c r="G50" s="300"/>
      <c r="H50" s="301"/>
      <c r="J50" s="9"/>
      <c r="K50" s="9"/>
      <c r="L50" s="9"/>
    </row>
    <row r="51" spans="2:12" x14ac:dyDescent="0.2">
      <c r="B51" s="283">
        <v>81101</v>
      </c>
      <c r="C51" s="289" t="s">
        <v>713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3">
        <v>81102</v>
      </c>
      <c r="C52" s="289" t="s">
        <v>714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3">
        <v>81103</v>
      </c>
      <c r="C53" s="289" t="s">
        <v>715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3">
        <v>81104</v>
      </c>
      <c r="C54" s="289" t="s">
        <v>716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3">
        <v>81105</v>
      </c>
      <c r="C55" s="289" t="s">
        <v>717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3">
        <v>81106</v>
      </c>
      <c r="C56" s="289" t="s">
        <v>718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3">
        <v>81107</v>
      </c>
      <c r="C57" s="289" t="s">
        <v>719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3">
        <v>81108</v>
      </c>
      <c r="C58" s="289" t="s">
        <v>720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3">
        <v>81109</v>
      </c>
      <c r="C59" s="289" t="s">
        <v>721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3">
        <v>81110</v>
      </c>
      <c r="C60" s="289" t="s">
        <v>722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3">
        <v>81111</v>
      </c>
      <c r="C61" s="289" t="s">
        <v>723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3"/>
      <c r="C62" s="286" t="s">
        <v>724</v>
      </c>
      <c r="D62" s="300"/>
      <c r="E62" s="300"/>
      <c r="F62" s="300"/>
      <c r="G62" s="300"/>
      <c r="H62" s="301"/>
      <c r="J62" s="9"/>
      <c r="K62" s="9"/>
      <c r="L62" s="9"/>
    </row>
    <row r="63" spans="2:12" x14ac:dyDescent="0.2">
      <c r="B63" s="283">
        <v>81112</v>
      </c>
      <c r="C63" s="289" t="s">
        <v>725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3">
        <v>81113</v>
      </c>
      <c r="C64" s="289" t="s">
        <v>726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3">
        <v>81114</v>
      </c>
      <c r="C65" s="289" t="s">
        <v>727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3">
        <v>81115</v>
      </c>
      <c r="C66" s="289" t="s">
        <v>728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3">
        <v>81116</v>
      </c>
      <c r="C67" s="289" t="s">
        <v>729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3">
        <v>81117</v>
      </c>
      <c r="C68" s="286" t="s">
        <v>730</v>
      </c>
      <c r="D68" s="188">
        <v>106803559.63</v>
      </c>
      <c r="E68" s="188">
        <v>-85591144.290000007</v>
      </c>
      <c r="F68" s="188">
        <v>115393776.75</v>
      </c>
      <c r="G68" s="188">
        <v>-21212415.34</v>
      </c>
      <c r="H68" s="188">
        <v>-115393776.75</v>
      </c>
      <c r="J68" s="9"/>
      <c r="K68" s="9"/>
      <c r="L68" s="9"/>
    </row>
    <row r="69" spans="2:12" x14ac:dyDescent="0.2">
      <c r="B69" s="283"/>
      <c r="C69" s="286" t="s">
        <v>731</v>
      </c>
      <c r="D69" s="300"/>
      <c r="E69" s="300"/>
      <c r="F69" s="300"/>
      <c r="G69" s="300"/>
      <c r="H69" s="301"/>
      <c r="J69" s="9"/>
      <c r="K69" s="9"/>
      <c r="L69" s="9"/>
    </row>
    <row r="70" spans="2:12" x14ac:dyDescent="0.2">
      <c r="B70" s="283">
        <v>83104</v>
      </c>
      <c r="C70" s="289" t="s">
        <v>732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3"/>
      <c r="C71" s="286" t="s">
        <v>733</v>
      </c>
      <c r="D71" s="188"/>
      <c r="E71" s="188"/>
      <c r="F71" s="188"/>
      <c r="G71" s="188"/>
      <c r="H71" s="190"/>
      <c r="J71" s="9"/>
      <c r="K71" s="9"/>
      <c r="L71" s="9"/>
    </row>
    <row r="72" spans="2:12" x14ac:dyDescent="0.2">
      <c r="B72" s="283">
        <v>81119</v>
      </c>
      <c r="C72" s="289" t="s">
        <v>734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3">
        <v>81120</v>
      </c>
      <c r="C73" s="289" t="s">
        <v>733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3">
        <v>81121</v>
      </c>
      <c r="C74" s="285" t="s">
        <v>735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 x14ac:dyDescent="0.2">
      <c r="B76" s="283"/>
      <c r="C76" s="303" t="s">
        <v>736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 x14ac:dyDescent="0.2">
      <c r="B77" s="283"/>
      <c r="C77" s="302" t="s">
        <v>737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 x14ac:dyDescent="0.2">
      <c r="B78" s="283">
        <v>82101</v>
      </c>
      <c r="C78" s="289" t="s">
        <v>738</v>
      </c>
      <c r="D78" s="188"/>
      <c r="E78" s="188"/>
      <c r="F78" s="188"/>
      <c r="G78" s="188"/>
      <c r="H78" s="190"/>
      <c r="J78" s="9"/>
      <c r="K78" s="9"/>
      <c r="L78" s="9"/>
    </row>
    <row r="79" spans="2:12" x14ac:dyDescent="0.2">
      <c r="B79" s="283">
        <v>82102</v>
      </c>
      <c r="C79" s="289" t="s">
        <v>739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3">
        <v>82103</v>
      </c>
      <c r="C80" s="289" t="s">
        <v>740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3">
        <v>82104</v>
      </c>
      <c r="C81" s="290" t="s">
        <v>741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3">
        <v>82105</v>
      </c>
      <c r="C82" s="289" t="s">
        <v>742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3">
        <v>82106</v>
      </c>
      <c r="C83" s="289" t="s">
        <v>743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3">
        <v>82107</v>
      </c>
      <c r="C84" s="289" t="s">
        <v>744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3">
        <v>82108</v>
      </c>
      <c r="C85" s="289" t="s">
        <v>745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3"/>
      <c r="C86" s="286" t="s">
        <v>731</v>
      </c>
      <c r="D86" s="300"/>
      <c r="E86" s="300"/>
      <c r="F86" s="300"/>
      <c r="G86" s="300"/>
      <c r="H86" s="301"/>
      <c r="J86" s="9"/>
      <c r="K86" s="9"/>
      <c r="L86" s="9"/>
    </row>
    <row r="87" spans="2:12" x14ac:dyDescent="0.2">
      <c r="B87" s="283">
        <v>83101</v>
      </c>
      <c r="C87" s="289" t="s">
        <v>746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3">
        <v>83102</v>
      </c>
      <c r="C88" s="289" t="s">
        <v>747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3">
        <v>83103</v>
      </c>
      <c r="C89" s="289" t="s">
        <v>748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3">
        <v>83104</v>
      </c>
      <c r="C90" s="289" t="s">
        <v>732</v>
      </c>
      <c r="D90" s="188"/>
      <c r="E90" s="188"/>
      <c r="F90" s="188"/>
      <c r="G90" s="188"/>
      <c r="H90" s="190"/>
      <c r="J90" s="9"/>
      <c r="K90" s="9"/>
      <c r="L90" s="9"/>
    </row>
    <row r="91" spans="2:12" x14ac:dyDescent="0.2">
      <c r="B91" s="283"/>
      <c r="C91" s="302" t="s">
        <v>749</v>
      </c>
      <c r="D91" s="300"/>
      <c r="E91" s="300"/>
      <c r="F91" s="300"/>
      <c r="G91" s="300"/>
      <c r="H91" s="301"/>
      <c r="J91" s="9"/>
      <c r="K91" s="9"/>
      <c r="L91" s="9"/>
    </row>
    <row r="92" spans="2:12" x14ac:dyDescent="0.2">
      <c r="B92" s="283">
        <v>91101</v>
      </c>
      <c r="C92" s="289" t="s">
        <v>750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3">
        <v>91102</v>
      </c>
      <c r="C93" s="289" t="s">
        <v>751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3"/>
      <c r="C94" s="302" t="s">
        <v>752</v>
      </c>
      <c r="D94" s="300"/>
      <c r="E94" s="300"/>
      <c r="F94" s="300"/>
      <c r="G94" s="300"/>
      <c r="H94" s="301"/>
      <c r="J94" s="9"/>
      <c r="K94" s="9"/>
      <c r="L94" s="9"/>
    </row>
    <row r="95" spans="2:12" x14ac:dyDescent="0.2">
      <c r="B95" s="283">
        <v>91</v>
      </c>
      <c r="C95" s="289" t="s">
        <v>753</v>
      </c>
      <c r="D95" s="188"/>
      <c r="E95" s="188"/>
      <c r="F95" s="188"/>
      <c r="G95" s="188"/>
      <c r="H95" s="190"/>
      <c r="J95" s="9"/>
      <c r="K95" s="9"/>
      <c r="L95" s="9"/>
    </row>
    <row r="96" spans="2:12" x14ac:dyDescent="0.2">
      <c r="B96" s="283">
        <v>9201</v>
      </c>
      <c r="C96" s="289" t="s">
        <v>754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3">
        <v>93</v>
      </c>
      <c r="C97" s="289" t="s">
        <v>755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3">
        <v>94</v>
      </c>
      <c r="C98" s="289" t="s">
        <v>756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3">
        <v>95</v>
      </c>
      <c r="C99" s="289" t="s">
        <v>757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3">
        <v>96</v>
      </c>
      <c r="C100" s="289" t="s">
        <v>758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3">
        <v>9202</v>
      </c>
      <c r="C101" s="285" t="s">
        <v>759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1:16384" x14ac:dyDescent="0.2">
      <c r="B103" s="283"/>
      <c r="C103" s="303" t="s">
        <v>760</v>
      </c>
      <c r="D103" s="300"/>
      <c r="E103" s="300"/>
      <c r="F103" s="300"/>
      <c r="G103" s="300"/>
      <c r="H103" s="301"/>
      <c r="J103" s="9"/>
      <c r="K103" s="9"/>
      <c r="L103" s="9"/>
    </row>
    <row r="104" spans="1:16384" x14ac:dyDescent="0.2">
      <c r="B104" s="284" t="s">
        <v>5</v>
      </c>
      <c r="C104" s="287" t="s">
        <v>761</v>
      </c>
      <c r="D104" s="188"/>
      <c r="E104" s="188"/>
      <c r="F104" s="188"/>
      <c r="G104" s="188"/>
      <c r="H104" s="190"/>
      <c r="J104" s="9"/>
      <c r="K104" s="9"/>
      <c r="L104" s="9"/>
    </row>
    <row r="105" spans="1:16384" x14ac:dyDescent="0.2">
      <c r="B105" s="284" t="s">
        <v>6</v>
      </c>
      <c r="C105" s="287" t="s">
        <v>762</v>
      </c>
      <c r="D105" s="188"/>
      <c r="E105" s="188"/>
      <c r="F105" s="188"/>
      <c r="G105" s="188"/>
      <c r="H105" s="190"/>
      <c r="J105" s="9"/>
      <c r="K105" s="9"/>
      <c r="L105" s="9"/>
    </row>
    <row r="106" spans="1:16384" s="15" customFormat="1" x14ac:dyDescent="0.2">
      <c r="A106" s="12"/>
      <c r="B106" s="14"/>
      <c r="D106" s="16">
        <f>SUM(D11:D105)</f>
        <v>130204948.28999999</v>
      </c>
      <c r="E106" s="16">
        <f>SUM(E11:E105)</f>
        <v>-102951856.89000002</v>
      </c>
      <c r="F106" s="16">
        <f>SUM(F11:F105)</f>
        <v>138994957.66</v>
      </c>
      <c r="G106" s="16">
        <f>SUM(G11:G105)</f>
        <v>-27253091.399999999</v>
      </c>
      <c r="H106" s="16">
        <f>SUM(H11:H105)</f>
        <v>-138994957.66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  <c r="WDK106" s="12"/>
      <c r="WDL106" s="12"/>
      <c r="WDM106" s="12"/>
      <c r="WDN106" s="12"/>
      <c r="WDO106" s="12"/>
      <c r="WDP106" s="12"/>
      <c r="WDQ106" s="12"/>
      <c r="WDR106" s="12"/>
      <c r="WDS106" s="12"/>
      <c r="WDT106" s="12"/>
      <c r="WDU106" s="12"/>
      <c r="WDV106" s="12"/>
      <c r="WDW106" s="12"/>
      <c r="WDX106" s="12"/>
      <c r="WDY106" s="12"/>
      <c r="WDZ106" s="12"/>
      <c r="WEA106" s="12"/>
      <c r="WEB106" s="12"/>
      <c r="WEC106" s="12"/>
      <c r="WED106" s="12"/>
      <c r="WEE106" s="12"/>
      <c r="WEF106" s="12"/>
      <c r="WEG106" s="12"/>
      <c r="WEH106" s="12"/>
      <c r="WEI106" s="12"/>
      <c r="WEJ106" s="12"/>
      <c r="WEK106" s="12"/>
      <c r="WEL106" s="12"/>
      <c r="WEM106" s="12"/>
      <c r="WEN106" s="12"/>
      <c r="WEO106" s="12"/>
      <c r="WEP106" s="12"/>
      <c r="WEQ106" s="12"/>
      <c r="WER106" s="12"/>
      <c r="WES106" s="12"/>
      <c r="WET106" s="12"/>
      <c r="WEU106" s="12"/>
      <c r="WEV106" s="12"/>
      <c r="WEW106" s="12"/>
      <c r="WEX106" s="12"/>
      <c r="WEY106" s="12"/>
      <c r="WEZ106" s="12"/>
      <c r="WFA106" s="12"/>
      <c r="WFB106" s="12"/>
      <c r="WFC106" s="12"/>
      <c r="WFD106" s="12"/>
      <c r="WFE106" s="12"/>
      <c r="WFF106" s="12"/>
      <c r="WFG106" s="12"/>
      <c r="WFH106" s="12"/>
      <c r="WFI106" s="12"/>
      <c r="WFJ106" s="12"/>
      <c r="WFK106" s="12"/>
      <c r="WFL106" s="12"/>
      <c r="WFM106" s="12"/>
      <c r="WFN106" s="12"/>
      <c r="WFO106" s="12"/>
      <c r="WFP106" s="12"/>
      <c r="WFQ106" s="12"/>
      <c r="WFR106" s="12"/>
      <c r="WFS106" s="12"/>
      <c r="WFT106" s="12"/>
      <c r="WFU106" s="12"/>
      <c r="WFV106" s="12"/>
      <c r="WFW106" s="12"/>
      <c r="WFX106" s="12"/>
      <c r="WFY106" s="12"/>
      <c r="WFZ106" s="12"/>
      <c r="WGA106" s="12"/>
      <c r="WGB106" s="12"/>
      <c r="WGC106" s="12"/>
      <c r="WGD106" s="12"/>
      <c r="WGE106" s="12"/>
      <c r="WGF106" s="12"/>
      <c r="WGG106" s="12"/>
      <c r="WGH106" s="12"/>
      <c r="WGI106" s="12"/>
      <c r="WGJ106" s="12"/>
      <c r="WGK106" s="12"/>
      <c r="WGL106" s="12"/>
      <c r="WGM106" s="12"/>
      <c r="WGN106" s="12"/>
      <c r="WGO106" s="12"/>
      <c r="WGP106" s="12"/>
      <c r="WGQ106" s="12"/>
      <c r="WGR106" s="12"/>
      <c r="WGS106" s="12"/>
      <c r="WGT106" s="12"/>
      <c r="WGU106" s="12"/>
      <c r="WGV106" s="12"/>
      <c r="WGW106" s="12"/>
      <c r="WGX106" s="12"/>
      <c r="WGY106" s="12"/>
      <c r="WGZ106" s="12"/>
      <c r="WHA106" s="12"/>
      <c r="WHB106" s="12"/>
      <c r="WHC106" s="12"/>
      <c r="WHD106" s="12"/>
      <c r="WHE106" s="12"/>
      <c r="WHF106" s="12"/>
      <c r="WHG106" s="12"/>
      <c r="WHH106" s="12"/>
      <c r="WHI106" s="12"/>
      <c r="WHJ106" s="12"/>
      <c r="WHK106" s="12"/>
      <c r="WHL106" s="12"/>
      <c r="WHM106" s="12"/>
      <c r="WHN106" s="12"/>
      <c r="WHO106" s="12"/>
      <c r="WHP106" s="12"/>
      <c r="WHQ106" s="12"/>
      <c r="WHR106" s="12"/>
      <c r="WHS106" s="12"/>
      <c r="WHT106" s="12"/>
      <c r="WHU106" s="12"/>
      <c r="WHV106" s="12"/>
      <c r="WHW106" s="12"/>
      <c r="WHX106" s="12"/>
      <c r="WHY106" s="12"/>
      <c r="WHZ106" s="12"/>
      <c r="WIA106" s="12"/>
      <c r="WIB106" s="12"/>
      <c r="WIC106" s="12"/>
      <c r="WID106" s="12"/>
      <c r="WIE106" s="12"/>
      <c r="WIF106" s="12"/>
      <c r="WIG106" s="12"/>
      <c r="WIH106" s="12"/>
      <c r="WII106" s="12"/>
      <c r="WIJ106" s="12"/>
      <c r="WIK106" s="12"/>
      <c r="WIL106" s="12"/>
      <c r="WIM106" s="12"/>
      <c r="WIN106" s="12"/>
      <c r="WIO106" s="12"/>
      <c r="WIP106" s="12"/>
      <c r="WIQ106" s="12"/>
      <c r="WIR106" s="12"/>
      <c r="WIS106" s="12"/>
      <c r="WIT106" s="12"/>
      <c r="WIU106" s="12"/>
      <c r="WIV106" s="12"/>
      <c r="WIW106" s="12"/>
      <c r="WIX106" s="12"/>
      <c r="WIY106" s="12"/>
      <c r="WIZ106" s="12"/>
      <c r="WJA106" s="12"/>
      <c r="WJB106" s="12"/>
      <c r="WJC106" s="12"/>
      <c r="WJD106" s="12"/>
      <c r="WJE106" s="12"/>
      <c r="WJF106" s="12"/>
      <c r="WJG106" s="12"/>
      <c r="WJH106" s="12"/>
      <c r="WJI106" s="12"/>
      <c r="WJJ106" s="12"/>
      <c r="WJK106" s="12"/>
      <c r="WJL106" s="12"/>
      <c r="WJM106" s="12"/>
      <c r="WJN106" s="12"/>
      <c r="WJO106" s="12"/>
      <c r="WJP106" s="12"/>
      <c r="WJQ106" s="12"/>
      <c r="WJR106" s="12"/>
      <c r="WJS106" s="12"/>
      <c r="WJT106" s="12"/>
      <c r="WJU106" s="12"/>
      <c r="WJV106" s="12"/>
      <c r="WJW106" s="12"/>
      <c r="WJX106" s="12"/>
      <c r="WJY106" s="12"/>
      <c r="WJZ106" s="12"/>
      <c r="WKA106" s="12"/>
      <c r="WKB106" s="12"/>
      <c r="WKC106" s="12"/>
      <c r="WKD106" s="12"/>
      <c r="WKE106" s="12"/>
      <c r="WKF106" s="12"/>
      <c r="WKG106" s="12"/>
      <c r="WKH106" s="12"/>
      <c r="WKI106" s="12"/>
      <c r="WKJ106" s="12"/>
      <c r="WKK106" s="12"/>
      <c r="WKL106" s="12"/>
      <c r="WKM106" s="12"/>
      <c r="WKN106" s="12"/>
      <c r="WKO106" s="12"/>
      <c r="WKP106" s="12"/>
      <c r="WKQ106" s="12"/>
      <c r="WKR106" s="12"/>
      <c r="WKS106" s="12"/>
      <c r="WKT106" s="12"/>
      <c r="WKU106" s="12"/>
      <c r="WKV106" s="12"/>
      <c r="WKW106" s="12"/>
      <c r="WKX106" s="12"/>
      <c r="WKY106" s="12"/>
      <c r="WKZ106" s="12"/>
      <c r="WLA106" s="12"/>
      <c r="WLB106" s="12"/>
      <c r="WLC106" s="12"/>
      <c r="WLD106" s="12"/>
      <c r="WLE106" s="12"/>
      <c r="WLF106" s="12"/>
      <c r="WLG106" s="12"/>
      <c r="WLH106" s="12"/>
      <c r="WLI106" s="12"/>
      <c r="WLJ106" s="12"/>
      <c r="WLK106" s="12"/>
      <c r="WLL106" s="12"/>
      <c r="WLM106" s="12"/>
      <c r="WLN106" s="12"/>
      <c r="WLO106" s="12"/>
      <c r="WLP106" s="12"/>
      <c r="WLQ106" s="12"/>
      <c r="WLR106" s="12"/>
      <c r="WLS106" s="12"/>
      <c r="WLT106" s="12"/>
      <c r="WLU106" s="12"/>
      <c r="WLV106" s="12"/>
      <c r="WLW106" s="12"/>
      <c r="WLX106" s="12"/>
      <c r="WLY106" s="12"/>
      <c r="WLZ106" s="12"/>
      <c r="WMA106" s="12"/>
      <c r="WMB106" s="12"/>
      <c r="WMC106" s="12"/>
      <c r="WMD106" s="12"/>
      <c r="WME106" s="12"/>
      <c r="WMF106" s="12"/>
      <c r="WMG106" s="12"/>
      <c r="WMH106" s="12"/>
      <c r="WMI106" s="12"/>
      <c r="WMJ106" s="12"/>
      <c r="WMK106" s="12"/>
      <c r="WML106" s="12"/>
      <c r="WMM106" s="12"/>
      <c r="WMN106" s="12"/>
      <c r="WMO106" s="12"/>
      <c r="WMP106" s="12"/>
      <c r="WMQ106" s="12"/>
      <c r="WMR106" s="12"/>
      <c r="WMS106" s="12"/>
      <c r="WMT106" s="12"/>
      <c r="WMU106" s="12"/>
      <c r="WMV106" s="12"/>
      <c r="WMW106" s="12"/>
      <c r="WMX106" s="12"/>
      <c r="WMY106" s="12"/>
      <c r="WMZ106" s="12"/>
      <c r="WNA106" s="12"/>
      <c r="WNB106" s="12"/>
      <c r="WNC106" s="12"/>
      <c r="WND106" s="12"/>
      <c r="WNE106" s="12"/>
      <c r="WNF106" s="12"/>
      <c r="WNG106" s="12"/>
      <c r="WNH106" s="12"/>
      <c r="WNI106" s="12"/>
      <c r="WNJ106" s="12"/>
      <c r="WNK106" s="12"/>
      <c r="WNL106" s="12"/>
      <c r="WNM106" s="12"/>
      <c r="WNN106" s="12"/>
      <c r="WNO106" s="12"/>
      <c r="WNP106" s="12"/>
      <c r="WNQ106" s="12"/>
      <c r="WNR106" s="12"/>
      <c r="WNS106" s="12"/>
      <c r="WNT106" s="12"/>
      <c r="WNU106" s="12"/>
      <c r="WNV106" s="12"/>
      <c r="WNW106" s="12"/>
      <c r="WNX106" s="12"/>
      <c r="WNY106" s="12"/>
      <c r="WNZ106" s="12"/>
      <c r="WOA106" s="12"/>
      <c r="WOB106" s="12"/>
      <c r="WOC106" s="12"/>
      <c r="WOD106" s="12"/>
      <c r="WOE106" s="12"/>
      <c r="WOF106" s="12"/>
      <c r="WOG106" s="12"/>
      <c r="WOH106" s="12"/>
      <c r="WOI106" s="12"/>
      <c r="WOJ106" s="12"/>
      <c r="WOK106" s="12"/>
      <c r="WOL106" s="12"/>
      <c r="WOM106" s="12"/>
      <c r="WON106" s="12"/>
      <c r="WOO106" s="12"/>
      <c r="WOP106" s="12"/>
      <c r="WOQ106" s="12"/>
      <c r="WOR106" s="12"/>
      <c r="WOS106" s="12"/>
      <c r="WOT106" s="12"/>
      <c r="WOU106" s="12"/>
      <c r="WOV106" s="12"/>
      <c r="WOW106" s="12"/>
      <c r="WOX106" s="12"/>
      <c r="WOY106" s="12"/>
      <c r="WOZ106" s="12"/>
      <c r="WPA106" s="12"/>
      <c r="WPB106" s="12"/>
      <c r="WPC106" s="12"/>
      <c r="WPD106" s="12"/>
      <c r="WPE106" s="12"/>
      <c r="WPF106" s="12"/>
      <c r="WPG106" s="12"/>
      <c r="WPH106" s="12"/>
      <c r="WPI106" s="12"/>
      <c r="WPJ106" s="12"/>
      <c r="WPK106" s="12"/>
      <c r="WPL106" s="12"/>
      <c r="WPM106" s="12"/>
      <c r="WPN106" s="12"/>
      <c r="WPO106" s="12"/>
      <c r="WPP106" s="12"/>
      <c r="WPQ106" s="12"/>
      <c r="WPR106" s="12"/>
      <c r="WPS106" s="12"/>
      <c r="WPT106" s="12"/>
      <c r="WPU106" s="12"/>
      <c r="WPV106" s="12"/>
      <c r="WPW106" s="12"/>
      <c r="WPX106" s="12"/>
      <c r="WPY106" s="12"/>
      <c r="WPZ106" s="12"/>
      <c r="WQA106" s="12"/>
      <c r="WQB106" s="12"/>
      <c r="WQC106" s="12"/>
      <c r="WQD106" s="12"/>
      <c r="WQE106" s="12"/>
      <c r="WQF106" s="12"/>
      <c r="WQG106" s="12"/>
      <c r="WQH106" s="12"/>
      <c r="WQI106" s="12"/>
      <c r="WQJ106" s="12"/>
      <c r="WQK106" s="12"/>
      <c r="WQL106" s="12"/>
      <c r="WQM106" s="12"/>
      <c r="WQN106" s="12"/>
      <c r="WQO106" s="12"/>
      <c r="WQP106" s="12"/>
      <c r="WQQ106" s="12"/>
      <c r="WQR106" s="12"/>
      <c r="WQS106" s="12"/>
      <c r="WQT106" s="12"/>
      <c r="WQU106" s="12"/>
      <c r="WQV106" s="12"/>
      <c r="WQW106" s="12"/>
      <c r="WQX106" s="12"/>
      <c r="WQY106" s="12"/>
      <c r="WQZ106" s="12"/>
      <c r="WRA106" s="12"/>
      <c r="WRB106" s="12"/>
      <c r="WRC106" s="12"/>
      <c r="WRD106" s="12"/>
      <c r="WRE106" s="12"/>
      <c r="WRF106" s="12"/>
      <c r="WRG106" s="12"/>
      <c r="WRH106" s="12"/>
      <c r="WRI106" s="12"/>
      <c r="WRJ106" s="12"/>
      <c r="WRK106" s="12"/>
      <c r="WRL106" s="12"/>
      <c r="WRM106" s="12"/>
      <c r="WRN106" s="12"/>
      <c r="WRO106" s="12"/>
      <c r="WRP106" s="12"/>
      <c r="WRQ106" s="12"/>
      <c r="WRR106" s="12"/>
      <c r="WRS106" s="12"/>
      <c r="WRT106" s="12"/>
      <c r="WRU106" s="12"/>
      <c r="WRV106" s="12"/>
      <c r="WRW106" s="12"/>
      <c r="WRX106" s="12"/>
      <c r="WRY106" s="12"/>
      <c r="WRZ106" s="12"/>
      <c r="WSA106" s="12"/>
      <c r="WSB106" s="12"/>
      <c r="WSC106" s="12"/>
      <c r="WSD106" s="12"/>
      <c r="WSE106" s="12"/>
      <c r="WSF106" s="12"/>
      <c r="WSG106" s="12"/>
      <c r="WSH106" s="12"/>
      <c r="WSI106" s="12"/>
      <c r="WSJ106" s="12"/>
      <c r="WSK106" s="12"/>
      <c r="WSL106" s="12"/>
      <c r="WSM106" s="12"/>
      <c r="WSN106" s="12"/>
      <c r="WSO106" s="12"/>
      <c r="WSP106" s="12"/>
      <c r="WSQ106" s="12"/>
      <c r="WSR106" s="12"/>
      <c r="WSS106" s="12"/>
      <c r="WST106" s="12"/>
      <c r="WSU106" s="12"/>
      <c r="WSV106" s="12"/>
      <c r="WSW106" s="12"/>
      <c r="WSX106" s="12"/>
      <c r="WSY106" s="12"/>
      <c r="WSZ106" s="12"/>
      <c r="WTA106" s="12"/>
      <c r="WTB106" s="12"/>
      <c r="WTC106" s="12"/>
      <c r="WTD106" s="12"/>
      <c r="WTE106" s="12"/>
      <c r="WTF106" s="12"/>
      <c r="WTG106" s="12"/>
      <c r="WTH106" s="12"/>
      <c r="WTI106" s="12"/>
      <c r="WTJ106" s="12"/>
      <c r="WTK106" s="12"/>
      <c r="WTL106" s="12"/>
      <c r="WTM106" s="12"/>
      <c r="WTN106" s="12"/>
      <c r="WTO106" s="12"/>
      <c r="WTP106" s="12"/>
      <c r="WTQ106" s="12"/>
      <c r="WTR106" s="12"/>
      <c r="WTS106" s="12"/>
      <c r="WTT106" s="12"/>
      <c r="WTU106" s="12"/>
      <c r="WTV106" s="12"/>
      <c r="WTW106" s="12"/>
      <c r="WTX106" s="12"/>
      <c r="WTY106" s="12"/>
      <c r="WTZ106" s="12"/>
      <c r="WUA106" s="12"/>
      <c r="WUB106" s="12"/>
      <c r="WUC106" s="12"/>
      <c r="WUD106" s="12"/>
      <c r="WUE106" s="12"/>
      <c r="WUF106" s="12"/>
      <c r="WUG106" s="12"/>
      <c r="WUH106" s="12"/>
      <c r="WUI106" s="12"/>
      <c r="WUJ106" s="12"/>
      <c r="WUK106" s="12"/>
      <c r="WUL106" s="12"/>
      <c r="WUM106" s="12"/>
      <c r="WUN106" s="12"/>
      <c r="WUO106" s="12"/>
      <c r="WUP106" s="12"/>
      <c r="WUQ106" s="12"/>
      <c r="WUR106" s="12"/>
      <c r="WUS106" s="12"/>
      <c r="WUT106" s="12"/>
      <c r="WUU106" s="12"/>
      <c r="WUV106" s="12"/>
      <c r="WUW106" s="12"/>
      <c r="WUX106" s="12"/>
      <c r="WUY106" s="12"/>
      <c r="WUZ106" s="12"/>
      <c r="WVA106" s="12"/>
      <c r="WVB106" s="12"/>
      <c r="WVC106" s="12"/>
      <c r="WVD106" s="12"/>
      <c r="WVE106" s="12"/>
      <c r="WVF106" s="12"/>
      <c r="WVG106" s="12"/>
      <c r="WVH106" s="12"/>
      <c r="WVI106" s="12"/>
      <c r="WVJ106" s="12"/>
      <c r="WVK106" s="12"/>
      <c r="WVL106" s="12"/>
      <c r="WVM106" s="12"/>
      <c r="WVN106" s="12"/>
      <c r="WVO106" s="12"/>
      <c r="WVP106" s="12"/>
      <c r="WVQ106" s="12"/>
      <c r="WVR106" s="12"/>
      <c r="WVS106" s="12"/>
      <c r="WVT106" s="12"/>
      <c r="WVU106" s="12"/>
      <c r="WVV106" s="12"/>
      <c r="WVW106" s="12"/>
      <c r="WVX106" s="12"/>
      <c r="WVY106" s="12"/>
      <c r="WVZ106" s="12"/>
      <c r="WWA106" s="12"/>
      <c r="WWB106" s="12"/>
      <c r="WWC106" s="12"/>
      <c r="WWD106" s="12"/>
      <c r="WWE106" s="12"/>
      <c r="WWF106" s="12"/>
      <c r="WWG106" s="12"/>
      <c r="WWH106" s="12"/>
      <c r="WWI106" s="12"/>
      <c r="WWJ106" s="12"/>
      <c r="WWK106" s="12"/>
      <c r="WWL106" s="12"/>
      <c r="WWM106" s="12"/>
      <c r="WWN106" s="12"/>
      <c r="WWO106" s="12"/>
      <c r="WWP106" s="12"/>
      <c r="WWQ106" s="12"/>
      <c r="WWR106" s="12"/>
      <c r="WWS106" s="12"/>
      <c r="WWT106" s="12"/>
      <c r="WWU106" s="12"/>
      <c r="WWV106" s="12"/>
      <c r="WWW106" s="12"/>
      <c r="WWX106" s="12"/>
      <c r="WWY106" s="12"/>
      <c r="WWZ106" s="12"/>
      <c r="WXA106" s="12"/>
      <c r="WXB106" s="12"/>
      <c r="WXC106" s="12"/>
      <c r="WXD106" s="12"/>
      <c r="WXE106" s="12"/>
      <c r="WXF106" s="12"/>
      <c r="WXG106" s="12"/>
      <c r="WXH106" s="12"/>
      <c r="WXI106" s="12"/>
      <c r="WXJ106" s="12"/>
      <c r="WXK106" s="12"/>
      <c r="WXL106" s="12"/>
      <c r="WXM106" s="12"/>
      <c r="WXN106" s="12"/>
      <c r="WXO106" s="12"/>
      <c r="WXP106" s="12"/>
      <c r="WXQ106" s="12"/>
      <c r="WXR106" s="12"/>
      <c r="WXS106" s="12"/>
      <c r="WXT106" s="12"/>
      <c r="WXU106" s="12"/>
      <c r="WXV106" s="12"/>
      <c r="WXW106" s="12"/>
      <c r="WXX106" s="12"/>
      <c r="WXY106" s="12"/>
      <c r="WXZ106" s="12"/>
      <c r="WYA106" s="12"/>
      <c r="WYB106" s="12"/>
      <c r="WYC106" s="12"/>
      <c r="WYD106" s="12"/>
      <c r="WYE106" s="12"/>
      <c r="WYF106" s="12"/>
      <c r="WYG106" s="12"/>
      <c r="WYH106" s="12"/>
      <c r="WYI106" s="12"/>
      <c r="WYJ106" s="12"/>
      <c r="WYK106" s="12"/>
      <c r="WYL106" s="12"/>
      <c r="WYM106" s="12"/>
      <c r="WYN106" s="12"/>
      <c r="WYO106" s="12"/>
      <c r="WYP106" s="12"/>
      <c r="WYQ106" s="12"/>
      <c r="WYR106" s="12"/>
      <c r="WYS106" s="12"/>
      <c r="WYT106" s="12"/>
      <c r="WYU106" s="12"/>
      <c r="WYV106" s="12"/>
      <c r="WYW106" s="12"/>
      <c r="WYX106" s="12"/>
      <c r="WYY106" s="12"/>
      <c r="WYZ106" s="12"/>
      <c r="WZA106" s="12"/>
      <c r="WZB106" s="12"/>
      <c r="WZC106" s="12"/>
      <c r="WZD106" s="12"/>
      <c r="WZE106" s="12"/>
      <c r="WZF106" s="12"/>
      <c r="WZG106" s="12"/>
      <c r="WZH106" s="12"/>
      <c r="WZI106" s="12"/>
      <c r="WZJ106" s="12"/>
      <c r="WZK106" s="12"/>
      <c r="WZL106" s="12"/>
      <c r="WZM106" s="12"/>
      <c r="WZN106" s="12"/>
      <c r="WZO106" s="12"/>
      <c r="WZP106" s="12"/>
      <c r="WZQ106" s="12"/>
      <c r="WZR106" s="12"/>
      <c r="WZS106" s="12"/>
      <c r="WZT106" s="12"/>
      <c r="WZU106" s="12"/>
      <c r="WZV106" s="12"/>
      <c r="WZW106" s="12"/>
      <c r="WZX106" s="12"/>
      <c r="WZY106" s="12"/>
      <c r="WZZ106" s="12"/>
      <c r="XAA106" s="12"/>
      <c r="XAB106" s="12"/>
      <c r="XAC106" s="12"/>
      <c r="XAD106" s="12"/>
      <c r="XAE106" s="12"/>
      <c r="XAF106" s="12"/>
      <c r="XAG106" s="12"/>
      <c r="XAH106" s="12"/>
      <c r="XAI106" s="12"/>
      <c r="XAJ106" s="12"/>
      <c r="XAK106" s="12"/>
      <c r="XAL106" s="12"/>
      <c r="XAM106" s="12"/>
      <c r="XAN106" s="12"/>
      <c r="XAO106" s="12"/>
      <c r="XAP106" s="12"/>
      <c r="XAQ106" s="12"/>
      <c r="XAR106" s="12"/>
      <c r="XAS106" s="12"/>
      <c r="XAT106" s="12"/>
      <c r="XAU106" s="12"/>
      <c r="XAV106" s="12"/>
      <c r="XAW106" s="12"/>
      <c r="XAX106" s="12"/>
      <c r="XAY106" s="12"/>
      <c r="XAZ106" s="12"/>
      <c r="XBA106" s="12"/>
      <c r="XBB106" s="12"/>
      <c r="XBC106" s="12"/>
      <c r="XBD106" s="12"/>
      <c r="XBE106" s="12"/>
      <c r="XBF106" s="12"/>
      <c r="XBG106" s="12"/>
      <c r="XBH106" s="12"/>
      <c r="XBI106" s="12"/>
      <c r="XBJ106" s="12"/>
      <c r="XBK106" s="12"/>
      <c r="XBL106" s="12"/>
      <c r="XBM106" s="12"/>
      <c r="XBN106" s="12"/>
      <c r="XBO106" s="12"/>
      <c r="XBP106" s="12"/>
      <c r="XBQ106" s="12"/>
      <c r="XBR106" s="12"/>
      <c r="XBS106" s="12"/>
      <c r="XBT106" s="12"/>
      <c r="XBU106" s="12"/>
      <c r="XBV106" s="12"/>
      <c r="XBW106" s="12"/>
      <c r="XBX106" s="12"/>
      <c r="XBY106" s="12"/>
      <c r="XBZ106" s="12"/>
      <c r="XCA106" s="12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pans="1:16384" x14ac:dyDescent="0.2">
      <c r="A107" s="12"/>
    </row>
    <row r="108" spans="1:16384" x14ac:dyDescent="0.2">
      <c r="A108" s="12"/>
      <c r="D108" s="11" t="str">
        <f>IF(SUM(D106:H106)=0," ","ERROR EN LA SUMATORIA DE LOS SALDOS, LA SUMA DE TODAS LAS COLUMNAS DEBE SER CERO, HAY UN DESCUADRE POR: "&amp;SUM(D106:H106))</f>
        <v xml:space="preserve"> </v>
      </c>
    </row>
    <row r="109" spans="1:16384" s="6" customFormat="1" x14ac:dyDescent="0.2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1:16384" s="6" customFormat="1" x14ac:dyDescent="0.2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spans="2:3" x14ac:dyDescent="0.2">
      <c r="C145" s="2" t="s">
        <v>731</v>
      </c>
    </row>
    <row r="146" spans="2:3" x14ac:dyDescent="0.2">
      <c r="B146" s="2">
        <v>83101</v>
      </c>
      <c r="C146" s="2" t="s">
        <v>746</v>
      </c>
    </row>
    <row r="147" spans="2:3" x14ac:dyDescent="0.2">
      <c r="B147" s="2">
        <v>83102</v>
      </c>
      <c r="C147" s="2" t="s">
        <v>747</v>
      </c>
    </row>
    <row r="148" spans="2:3" x14ac:dyDescent="0.2">
      <c r="B148" s="2">
        <v>83103</v>
      </c>
      <c r="C148" s="2" t="s">
        <v>748</v>
      </c>
    </row>
    <row r="149" spans="2:3" x14ac:dyDescent="0.2">
      <c r="B149" s="2">
        <v>83104</v>
      </c>
      <c r="C149" s="2" t="s">
        <v>732</v>
      </c>
    </row>
    <row r="150" spans="2:3" x14ac:dyDescent="0.2">
      <c r="C150" s="2" t="s">
        <v>749</v>
      </c>
    </row>
    <row r="151" spans="2:3" x14ac:dyDescent="0.2">
      <c r="B151" s="2">
        <v>91101</v>
      </c>
      <c r="C151" s="2" t="s">
        <v>750</v>
      </c>
    </row>
    <row r="152" spans="2:3" x14ac:dyDescent="0.2">
      <c r="B152" s="2">
        <v>91102</v>
      </c>
      <c r="C152" s="2" t="s">
        <v>751</v>
      </c>
    </row>
    <row r="153" spans="2:3" x14ac:dyDescent="0.2">
      <c r="C153" s="2" t="s">
        <v>752</v>
      </c>
    </row>
    <row r="154" spans="2:3" x14ac:dyDescent="0.2">
      <c r="B154" s="2">
        <v>91</v>
      </c>
      <c r="C154" s="2" t="s">
        <v>753</v>
      </c>
    </row>
    <row r="155" spans="2:3" x14ac:dyDescent="0.2">
      <c r="B155" s="2">
        <v>9201</v>
      </c>
      <c r="C155" s="2" t="s">
        <v>754</v>
      </c>
    </row>
    <row r="156" spans="2:3" x14ac:dyDescent="0.2">
      <c r="B156" s="2">
        <v>93</v>
      </c>
      <c r="C156" s="2" t="s">
        <v>755</v>
      </c>
    </row>
    <row r="157" spans="2:3" x14ac:dyDescent="0.2">
      <c r="B157" s="2">
        <v>94</v>
      </c>
      <c r="C157" s="2" t="s">
        <v>756</v>
      </c>
    </row>
    <row r="158" spans="2:3" x14ac:dyDescent="0.2">
      <c r="B158" s="2">
        <v>95</v>
      </c>
      <c r="C158" s="2" t="s">
        <v>757</v>
      </c>
    </row>
    <row r="159" spans="2:3" x14ac:dyDescent="0.2">
      <c r="B159" s="2">
        <v>96</v>
      </c>
      <c r="C159" s="2" t="s">
        <v>758</v>
      </c>
    </row>
    <row r="160" spans="2:3" x14ac:dyDescent="0.2">
      <c r="B160" s="2">
        <v>9202</v>
      </c>
      <c r="C160" s="2" t="s">
        <v>759</v>
      </c>
    </row>
    <row r="161" spans="2:3" x14ac:dyDescent="0.2">
      <c r="C161" s="2" t="s">
        <v>760</v>
      </c>
    </row>
    <row r="162" spans="2:3" x14ac:dyDescent="0.2">
      <c r="B162" s="2">
        <v>1</v>
      </c>
      <c r="C162" s="2" t="s">
        <v>761</v>
      </c>
    </row>
    <row r="163" spans="2:3" x14ac:dyDescent="0.2">
      <c r="B163" s="2">
        <v>2</v>
      </c>
      <c r="C163" s="2" t="s">
        <v>762</v>
      </c>
    </row>
  </sheetData>
  <sheetProtection algorithmName="SHA-512" hashValue="RcIwztUHHMPRp+Mw09Y1ktZf3RnOHG91ywx1GuMis8LwGwMz0zYvvoHRNcqEXAGw7POfGeuJvXbnEMXUzh3bRg==" saltValue="6aVzcviaYg2F+jX3qjrT8A==" spinCount="100000"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5"/>
  <sheetViews>
    <sheetView showGridLines="0" view="pageBreakPreview" topLeftCell="B8" zoomScaleNormal="90" zoomScaleSheetLayoutView="100" workbookViewId="0">
      <selection activeCell="B2" sqref="B2:J2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02"/>
      <c r="C2" s="602"/>
      <c r="D2" s="602"/>
      <c r="E2" s="602"/>
      <c r="F2" s="602"/>
      <c r="G2" s="602"/>
      <c r="H2" s="602"/>
      <c r="I2" s="602"/>
      <c r="J2" s="602"/>
    </row>
    <row r="3" spans="1:10" x14ac:dyDescent="0.2">
      <c r="B3" s="617" t="s">
        <v>214</v>
      </c>
      <c r="C3" s="617"/>
      <c r="D3" s="617"/>
      <c r="E3" s="617"/>
      <c r="F3" s="617"/>
      <c r="G3" s="617"/>
      <c r="H3" s="617"/>
      <c r="I3" s="617"/>
      <c r="J3" s="617"/>
    </row>
    <row r="4" spans="1:10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  <c r="J4" s="617"/>
    </row>
    <row r="5" spans="1:10" x14ac:dyDescent="0.2">
      <c r="B5" s="617" t="s">
        <v>92</v>
      </c>
      <c r="C5" s="617"/>
      <c r="D5" s="617"/>
      <c r="E5" s="617"/>
      <c r="F5" s="617"/>
      <c r="G5" s="617"/>
      <c r="H5" s="617"/>
      <c r="I5" s="617"/>
      <c r="J5" s="617"/>
    </row>
    <row r="6" spans="1:10" x14ac:dyDescent="0.2">
      <c r="B6" s="617"/>
      <c r="C6" s="617"/>
      <c r="D6" s="617"/>
      <c r="E6" s="617"/>
      <c r="F6" s="617"/>
      <c r="G6" s="617"/>
      <c r="H6" s="617"/>
      <c r="I6" s="617"/>
      <c r="J6" s="617"/>
    </row>
    <row r="7" spans="1:10" ht="16.5" customHeight="1" x14ac:dyDescent="0.2">
      <c r="B7" s="618" t="s">
        <v>4</v>
      </c>
      <c r="C7" s="618"/>
      <c r="D7" s="604" t="str">
        <f>ENTE!D8</f>
        <v xml:space="preserve">UNIVERSIDAD TECNOLÓGICA DE SAN JUAN DEL RÍO </v>
      </c>
      <c r="E7" s="604"/>
      <c r="F7" s="604"/>
      <c r="G7" s="604"/>
      <c r="H7" s="604"/>
      <c r="I7" s="604"/>
      <c r="J7" s="604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15" t="s">
        <v>215</v>
      </c>
      <c r="C9" s="615"/>
      <c r="D9" s="615"/>
      <c r="E9" s="615" t="s">
        <v>216</v>
      </c>
      <c r="F9" s="615"/>
      <c r="G9" s="615"/>
      <c r="H9" s="615"/>
      <c r="I9" s="615"/>
      <c r="J9" s="614" t="s">
        <v>217</v>
      </c>
    </row>
    <row r="10" spans="1:10" ht="24" x14ac:dyDescent="0.2">
      <c r="A10" s="96"/>
      <c r="B10" s="615"/>
      <c r="C10" s="615"/>
      <c r="D10" s="615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14"/>
    </row>
    <row r="11" spans="1:10" ht="12" customHeight="1" x14ac:dyDescent="0.2">
      <c r="A11" s="96"/>
      <c r="B11" s="615"/>
      <c r="C11" s="615"/>
      <c r="D11" s="615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16" t="s">
        <v>98</v>
      </c>
      <c r="C13" s="611"/>
      <c r="D13" s="612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16" t="s">
        <v>212</v>
      </c>
      <c r="C14" s="611"/>
      <c r="D14" s="612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16" t="s">
        <v>102</v>
      </c>
      <c r="C15" s="611"/>
      <c r="D15" s="612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16" t="s">
        <v>104</v>
      </c>
      <c r="C16" s="611"/>
      <c r="D16" s="612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16" t="s">
        <v>229</v>
      </c>
      <c r="C17" s="611"/>
      <c r="D17" s="612"/>
      <c r="E17" s="105">
        <f>+E18+E19</f>
        <v>0</v>
      </c>
      <c r="F17" s="105">
        <f>+F18+F19</f>
        <v>0</v>
      </c>
      <c r="G17" s="105">
        <f t="shared" si="0"/>
        <v>0</v>
      </c>
      <c r="H17" s="105">
        <f>+H18+H19</f>
        <v>0</v>
      </c>
      <c r="I17" s="105">
        <f>+I18+I19</f>
        <v>0</v>
      </c>
      <c r="J17" s="105">
        <f t="shared" si="1"/>
        <v>0</v>
      </c>
    </row>
    <row r="18" spans="1:10" ht="12" customHeight="1" x14ac:dyDescent="0.2">
      <c r="A18" s="99"/>
      <c r="B18" s="106"/>
      <c r="C18" s="611" t="s">
        <v>230</v>
      </c>
      <c r="D18" s="612"/>
      <c r="E18" s="105">
        <f>+SCRI!D39+SCRI!D41</f>
        <v>0</v>
      </c>
      <c r="F18" s="105">
        <f>+SCRI!F39+SCRI!F41</f>
        <v>0</v>
      </c>
      <c r="G18" s="105">
        <f t="shared" si="0"/>
        <v>0</v>
      </c>
      <c r="H18" s="105">
        <f>-(SCRI!G39+SCRI!G41+SCRI!H39+SCRI!H41)</f>
        <v>0</v>
      </c>
      <c r="I18" s="105">
        <f>-(SCRI!H39+SCRI!H41)</f>
        <v>0</v>
      </c>
      <c r="J18" s="105">
        <f t="shared" si="1"/>
        <v>0</v>
      </c>
    </row>
    <row r="19" spans="1:10" ht="12" customHeight="1" x14ac:dyDescent="0.2">
      <c r="A19" s="99"/>
      <c r="B19" s="106"/>
      <c r="C19" s="611" t="s">
        <v>231</v>
      </c>
      <c r="D19" s="612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16" t="s">
        <v>232</v>
      </c>
      <c r="C20" s="611"/>
      <c r="D20" s="612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11" t="s">
        <v>230</v>
      </c>
      <c r="D21" s="612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11" t="s">
        <v>231</v>
      </c>
      <c r="D22" s="612"/>
      <c r="E22" s="105">
        <f>+SCRI!D44</f>
        <v>0</v>
      </c>
      <c r="F22" s="105">
        <f>+SCRI!F44</f>
        <v>0</v>
      </c>
      <c r="G22" s="105">
        <f t="shared" ref="G22:G26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16" t="s">
        <v>233</v>
      </c>
      <c r="C23" s="611"/>
      <c r="D23" s="612"/>
      <c r="E23" s="105">
        <f>SUM(SCRI!D47:D49)</f>
        <v>23401388.66</v>
      </c>
      <c r="F23" s="105">
        <f>SUM(SCRI!F47:F49)</f>
        <v>23601180.91</v>
      </c>
      <c r="G23" s="105">
        <f>+E23+F23</f>
        <v>47002569.57</v>
      </c>
      <c r="H23" s="105">
        <f>-SUM(SCRI!G47:G49,SCRI!H47:H49)</f>
        <v>29641856.969999999</v>
      </c>
      <c r="I23" s="105">
        <f>-SUM(SCRI!H47:H49)</f>
        <v>23601180.91</v>
      </c>
      <c r="J23" s="105">
        <f t="shared" si="1"/>
        <v>199792.25</v>
      </c>
    </row>
    <row r="24" spans="1:10" ht="12" customHeight="1" x14ac:dyDescent="0.2">
      <c r="A24" s="99"/>
      <c r="B24" s="616" t="s">
        <v>116</v>
      </c>
      <c r="C24" s="611"/>
      <c r="D24" s="612"/>
      <c r="E24" s="105">
        <f>SUM(SCRI!D51:D61,SCRI!D63:D67,SCRI!D78:D85)</f>
        <v>0</v>
      </c>
      <c r="F24" s="105">
        <f>SUM(SCRI!F51:F61,SCRI!F63:F67,SCRI!F78:F85)</f>
        <v>0</v>
      </c>
      <c r="G24" s="105">
        <f>+E24+F24</f>
        <v>0</v>
      </c>
      <c r="H24" s="105">
        <f>-SUM(SCRI!G51:G61,SCRI!G63:G67,SCRI!G78:G85,SCRI!H51:H61,SCRI!H63:H67,SCRI!H78:H85)</f>
        <v>0</v>
      </c>
      <c r="I24" s="105">
        <f>-SUM(SCRI!H51:H61,SCRI!H63:H67,SCRI!H78:H85)</f>
        <v>0</v>
      </c>
      <c r="J24" s="105">
        <f t="shared" si="1"/>
        <v>0</v>
      </c>
    </row>
    <row r="25" spans="1:10" ht="12" customHeight="1" x14ac:dyDescent="0.2">
      <c r="A25" s="107"/>
      <c r="B25" s="616" t="s">
        <v>234</v>
      </c>
      <c r="C25" s="611"/>
      <c r="D25" s="612"/>
      <c r="E25" s="105">
        <f>SUM(SCRI!D68,SCRI!D70,SCRI!D72:D74,SCRI!D87:D90,SCRI!D92:D93,SCRI!D95:D101)</f>
        <v>106803559.63</v>
      </c>
      <c r="F25" s="105">
        <f>SUM(SCRI!F68,SCRI!F70,SCRI!F72:F74,SCRI!F87:F90,SCRI!F92:F93,SCRI!F95:F101)</f>
        <v>115393776.75</v>
      </c>
      <c r="G25" s="105">
        <f>+E25+F25</f>
        <v>222197336.38</v>
      </c>
      <c r="H25" s="105">
        <f>-SUM(SCRI!G68,SCRI!G70,SCRI!G72:G74,SCRI!G87:G90,SCRI!G92:G93,SCRI!G95:G101,SCRI!H68,SCRI!H70,SCRI!H72:H74,SCRI!H87:H90,SCRI!H92:H93,SCRI!H95:H101)</f>
        <v>136606192.09</v>
      </c>
      <c r="I25" s="105">
        <f>-SUM(SCRI!H68,SCRI!H70,SCRI!H72:H74,SCRI!H87:H90,SCRI!H92:H93,SCRI!H95:H101)</f>
        <v>115393776.75</v>
      </c>
      <c r="J25" s="105">
        <f t="shared" si="1"/>
        <v>8590217.1200000048</v>
      </c>
    </row>
    <row r="26" spans="1:10" ht="12" customHeight="1" x14ac:dyDescent="0.2">
      <c r="A26" s="99"/>
      <c r="B26" s="616" t="s">
        <v>235</v>
      </c>
      <c r="C26" s="611"/>
      <c r="D26" s="612"/>
      <c r="E26" s="105">
        <f>SUM(SCRI!D104:D105)</f>
        <v>0</v>
      </c>
      <c r="F26" s="105">
        <f>SUM(SCRI!F104:F105)</f>
        <v>0</v>
      </c>
      <c r="G26" s="105">
        <f t="shared" si="2"/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236</v>
      </c>
      <c r="E28" s="116">
        <f t="shared" ref="E28:J28" si="3">SUM(E13:E26)-E18-E19-E21-E22</f>
        <v>130204948.28999999</v>
      </c>
      <c r="F28" s="116">
        <f t="shared" si="3"/>
        <v>138994957.66</v>
      </c>
      <c r="G28" s="116">
        <f t="shared" si="3"/>
        <v>269199905.94999999</v>
      </c>
      <c r="H28" s="116">
        <f t="shared" si="3"/>
        <v>166248049.06</v>
      </c>
      <c r="I28" s="116">
        <f t="shared" si="3"/>
        <v>138994957.66</v>
      </c>
      <c r="J28" s="605">
        <f t="shared" si="3"/>
        <v>8790009.3700000048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07" t="s">
        <v>237</v>
      </c>
      <c r="I29" s="608"/>
      <c r="J29" s="606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14" t="s">
        <v>238</v>
      </c>
      <c r="C31" s="614"/>
      <c r="D31" s="614"/>
      <c r="E31" s="615" t="s">
        <v>216</v>
      </c>
      <c r="F31" s="615"/>
      <c r="G31" s="615"/>
      <c r="H31" s="615"/>
      <c r="I31" s="615"/>
      <c r="J31" s="614" t="s">
        <v>217</v>
      </c>
    </row>
    <row r="32" spans="1:10" ht="24" x14ac:dyDescent="0.2">
      <c r="A32" s="96"/>
      <c r="B32" s="614"/>
      <c r="C32" s="614"/>
      <c r="D32" s="614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14"/>
    </row>
    <row r="33" spans="1:10" ht="12" customHeight="1" x14ac:dyDescent="0.2">
      <c r="A33" s="96"/>
      <c r="B33" s="614"/>
      <c r="C33" s="614"/>
      <c r="D33" s="614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239</v>
      </c>
      <c r="C35" s="119"/>
      <c r="D35" s="30"/>
      <c r="E35" s="116">
        <f>+E36+E37+E38+E39+E42+E45+E46</f>
        <v>0</v>
      </c>
      <c r="F35" s="116">
        <f t="shared" ref="F35:J35" si="4">+F36+F37+F38+F39+F42+F45+F46</f>
        <v>0</v>
      </c>
      <c r="G35" s="116">
        <f t="shared" si="4"/>
        <v>0</v>
      </c>
      <c r="H35" s="116">
        <f t="shared" si="4"/>
        <v>0</v>
      </c>
      <c r="I35" s="116">
        <f t="shared" si="4"/>
        <v>0</v>
      </c>
      <c r="J35" s="116">
        <f t="shared" si="4"/>
        <v>0</v>
      </c>
    </row>
    <row r="36" spans="1:10" ht="12" customHeight="1" x14ac:dyDescent="0.2">
      <c r="A36" s="99"/>
      <c r="B36" s="106"/>
      <c r="C36" s="611" t="s">
        <v>98</v>
      </c>
      <c r="D36" s="612"/>
      <c r="E36" s="381">
        <f>E13</f>
        <v>0</v>
      </c>
      <c r="F36" s="381">
        <f>F13</f>
        <v>0</v>
      </c>
      <c r="G36" s="381">
        <f t="shared" ref="G36:G50" si="5">+E36+F36</f>
        <v>0</v>
      </c>
      <c r="H36" s="381">
        <f>H13</f>
        <v>0</v>
      </c>
      <c r="I36" s="381">
        <f>I13</f>
        <v>0</v>
      </c>
      <c r="J36" s="381">
        <f>+I36-E36</f>
        <v>0</v>
      </c>
    </row>
    <row r="37" spans="1:10" ht="12" customHeight="1" x14ac:dyDescent="0.2">
      <c r="A37" s="99"/>
      <c r="B37" s="106"/>
      <c r="C37" s="611" t="s">
        <v>102</v>
      </c>
      <c r="D37" s="612"/>
      <c r="E37" s="381">
        <f>E15</f>
        <v>0</v>
      </c>
      <c r="F37" s="381">
        <f>F15</f>
        <v>0</v>
      </c>
      <c r="G37" s="381">
        <f t="shared" si="5"/>
        <v>0</v>
      </c>
      <c r="H37" s="381">
        <f>H15</f>
        <v>0</v>
      </c>
      <c r="I37" s="381">
        <f>I15</f>
        <v>0</v>
      </c>
      <c r="J37" s="381">
        <f t="shared" ref="J37:J54" si="6">+I37-E37</f>
        <v>0</v>
      </c>
    </row>
    <row r="38" spans="1:10" ht="12" customHeight="1" x14ac:dyDescent="0.2">
      <c r="A38" s="99"/>
      <c r="B38" s="106"/>
      <c r="C38" s="611" t="s">
        <v>104</v>
      </c>
      <c r="D38" s="612"/>
      <c r="E38" s="381">
        <f>E16</f>
        <v>0</v>
      </c>
      <c r="F38" s="381">
        <f>F16</f>
        <v>0</v>
      </c>
      <c r="G38" s="381">
        <f t="shared" si="5"/>
        <v>0</v>
      </c>
      <c r="H38" s="381">
        <f>H16</f>
        <v>0</v>
      </c>
      <c r="I38" s="381">
        <f>I16</f>
        <v>0</v>
      </c>
      <c r="J38" s="381">
        <f t="shared" si="6"/>
        <v>0</v>
      </c>
    </row>
    <row r="39" spans="1:10" ht="12" customHeight="1" x14ac:dyDescent="0.2">
      <c r="A39" s="99"/>
      <c r="B39" s="106"/>
      <c r="C39" s="611" t="s">
        <v>229</v>
      </c>
      <c r="D39" s="612"/>
      <c r="E39" s="381">
        <f>+E40+E41</f>
        <v>0</v>
      </c>
      <c r="F39" s="381">
        <f>+F40+F41</f>
        <v>0</v>
      </c>
      <c r="G39" s="381">
        <f t="shared" si="5"/>
        <v>0</v>
      </c>
      <c r="H39" s="381">
        <f>+H40+H41</f>
        <v>0</v>
      </c>
      <c r="I39" s="381">
        <f>+I40+I41</f>
        <v>0</v>
      </c>
      <c r="J39" s="381">
        <f t="shared" si="6"/>
        <v>0</v>
      </c>
    </row>
    <row r="40" spans="1:10" ht="12" customHeight="1" x14ac:dyDescent="0.2">
      <c r="A40" s="99"/>
      <c r="B40" s="106"/>
      <c r="C40" s="20"/>
      <c r="D40" s="120" t="s">
        <v>230</v>
      </c>
      <c r="E40" s="381">
        <f>E18</f>
        <v>0</v>
      </c>
      <c r="F40" s="381">
        <f>F18</f>
        <v>0</v>
      </c>
      <c r="G40" s="381">
        <f t="shared" si="5"/>
        <v>0</v>
      </c>
      <c r="H40" s="381">
        <f>H18</f>
        <v>0</v>
      </c>
      <c r="I40" s="381">
        <f>I18</f>
        <v>0</v>
      </c>
      <c r="J40" s="381">
        <f t="shared" si="6"/>
        <v>0</v>
      </c>
    </row>
    <row r="41" spans="1:10" ht="12" customHeight="1" x14ac:dyDescent="0.2">
      <c r="A41" s="99"/>
      <c r="B41" s="106"/>
      <c r="C41" s="20"/>
      <c r="D41" s="120" t="s">
        <v>231</v>
      </c>
      <c r="E41" s="381">
        <f>E19</f>
        <v>0</v>
      </c>
      <c r="F41" s="381">
        <f>F19</f>
        <v>0</v>
      </c>
      <c r="G41" s="381">
        <f t="shared" si="5"/>
        <v>0</v>
      </c>
      <c r="H41" s="381">
        <f>H19</f>
        <v>0</v>
      </c>
      <c r="I41" s="381">
        <f>I19</f>
        <v>0</v>
      </c>
      <c r="J41" s="381">
        <f t="shared" si="6"/>
        <v>0</v>
      </c>
    </row>
    <row r="42" spans="1:10" ht="12" customHeight="1" x14ac:dyDescent="0.2">
      <c r="A42" s="99"/>
      <c r="B42" s="106"/>
      <c r="C42" s="611" t="s">
        <v>232</v>
      </c>
      <c r="D42" s="612"/>
      <c r="E42" s="381">
        <f>+E43+E44</f>
        <v>0</v>
      </c>
      <c r="F42" s="381">
        <f>+F43+F44</f>
        <v>0</v>
      </c>
      <c r="G42" s="381">
        <f t="shared" si="5"/>
        <v>0</v>
      </c>
      <c r="H42" s="381">
        <f>+H43+H44</f>
        <v>0</v>
      </c>
      <c r="I42" s="381">
        <f>+I43+I44</f>
        <v>0</v>
      </c>
      <c r="J42" s="381">
        <f t="shared" si="6"/>
        <v>0</v>
      </c>
    </row>
    <row r="43" spans="1:10" ht="12" customHeight="1" x14ac:dyDescent="0.2">
      <c r="A43" s="99"/>
      <c r="B43" s="106"/>
      <c r="C43" s="20"/>
      <c r="D43" s="120" t="s">
        <v>230</v>
      </c>
      <c r="E43" s="381">
        <f>E21</f>
        <v>0</v>
      </c>
      <c r="F43" s="381">
        <f>F21</f>
        <v>0</v>
      </c>
      <c r="G43" s="381">
        <f t="shared" si="5"/>
        <v>0</v>
      </c>
      <c r="H43" s="381">
        <f>H21</f>
        <v>0</v>
      </c>
      <c r="I43" s="381">
        <f>I21</f>
        <v>0</v>
      </c>
      <c r="J43" s="381">
        <f t="shared" si="6"/>
        <v>0</v>
      </c>
    </row>
    <row r="44" spans="1:10" ht="12" customHeight="1" x14ac:dyDescent="0.2">
      <c r="A44" s="99"/>
      <c r="B44" s="106"/>
      <c r="C44" s="20"/>
      <c r="D44" s="120" t="s">
        <v>231</v>
      </c>
      <c r="E44" s="381">
        <f>E22</f>
        <v>0</v>
      </c>
      <c r="F44" s="381">
        <f>F22</f>
        <v>0</v>
      </c>
      <c r="G44" s="381">
        <f t="shared" si="5"/>
        <v>0</v>
      </c>
      <c r="H44" s="381">
        <f>H22</f>
        <v>0</v>
      </c>
      <c r="I44" s="381">
        <f>I22</f>
        <v>0</v>
      </c>
      <c r="J44" s="381">
        <f t="shared" si="6"/>
        <v>0</v>
      </c>
    </row>
    <row r="45" spans="1:10" ht="12" customHeight="1" x14ac:dyDescent="0.2">
      <c r="A45" s="99"/>
      <c r="B45" s="106"/>
      <c r="C45" s="611" t="s">
        <v>116</v>
      </c>
      <c r="D45" s="612"/>
      <c r="E45" s="381">
        <f>E24</f>
        <v>0</v>
      </c>
      <c r="F45" s="381">
        <f>F24</f>
        <v>0</v>
      </c>
      <c r="G45" s="381">
        <f t="shared" si="5"/>
        <v>0</v>
      </c>
      <c r="H45" s="381">
        <f>H24</f>
        <v>0</v>
      </c>
      <c r="I45" s="381">
        <f>I24</f>
        <v>0</v>
      </c>
      <c r="J45" s="381">
        <f t="shared" si="6"/>
        <v>0</v>
      </c>
    </row>
    <row r="46" spans="1:10" ht="12" customHeight="1" x14ac:dyDescent="0.2">
      <c r="A46" s="99"/>
      <c r="B46" s="106"/>
      <c r="C46" s="611" t="s">
        <v>234</v>
      </c>
      <c r="D46" s="612"/>
      <c r="E46" s="329"/>
      <c r="F46" s="329"/>
      <c r="G46" s="329"/>
      <c r="H46" s="329"/>
      <c r="I46" s="329"/>
      <c r="J46" s="381">
        <f t="shared" si="6"/>
        <v>0</v>
      </c>
    </row>
    <row r="47" spans="1:10" ht="12" customHeight="1" x14ac:dyDescent="0.2">
      <c r="A47" s="99"/>
      <c r="B47" s="106"/>
      <c r="C47" s="20"/>
      <c r="D47" s="120"/>
      <c r="E47" s="381"/>
      <c r="F47" s="381"/>
      <c r="G47" s="381">
        <f t="shared" si="5"/>
        <v>0</v>
      </c>
      <c r="H47" s="381"/>
      <c r="I47" s="381"/>
      <c r="J47" s="381"/>
    </row>
    <row r="48" spans="1:10" ht="12" customHeight="1" x14ac:dyDescent="0.2">
      <c r="A48" s="99"/>
      <c r="B48" s="118" t="s">
        <v>240</v>
      </c>
      <c r="C48" s="119"/>
      <c r="D48" s="120"/>
      <c r="E48" s="116">
        <f>+E49+E50+E51</f>
        <v>23401388.66</v>
      </c>
      <c r="F48" s="116">
        <f>+F49+F50+F51</f>
        <v>23601180.91</v>
      </c>
      <c r="G48" s="381">
        <f t="shared" si="5"/>
        <v>47002569.57</v>
      </c>
      <c r="H48" s="116">
        <f>+H49+H50+H51</f>
        <v>29641856.969999999</v>
      </c>
      <c r="I48" s="116">
        <f>+I49+I50+I51</f>
        <v>23601180.91</v>
      </c>
      <c r="J48" s="116">
        <f t="shared" si="6"/>
        <v>199792.25</v>
      </c>
    </row>
    <row r="49" spans="1:11" ht="12" customHeight="1" x14ac:dyDescent="0.2">
      <c r="A49" s="99"/>
      <c r="B49" s="118"/>
      <c r="C49" s="611" t="s">
        <v>212</v>
      </c>
      <c r="D49" s="612"/>
      <c r="E49" s="381">
        <f>E14</f>
        <v>0</v>
      </c>
      <c r="F49" s="381">
        <f>F14</f>
        <v>0</v>
      </c>
      <c r="G49" s="381">
        <f t="shared" si="5"/>
        <v>0</v>
      </c>
      <c r="H49" s="381">
        <f>H14</f>
        <v>0</v>
      </c>
      <c r="I49" s="381">
        <f>I14</f>
        <v>0</v>
      </c>
      <c r="J49" s="381">
        <f t="shared" si="6"/>
        <v>0</v>
      </c>
    </row>
    <row r="50" spans="1:11" ht="12" customHeight="1" x14ac:dyDescent="0.2">
      <c r="A50" s="99"/>
      <c r="B50" s="106"/>
      <c r="C50" s="611" t="s">
        <v>233</v>
      </c>
      <c r="D50" s="612"/>
      <c r="E50" s="381">
        <f>E23</f>
        <v>23401388.66</v>
      </c>
      <c r="F50" s="381">
        <f>F23</f>
        <v>23601180.91</v>
      </c>
      <c r="G50" s="381">
        <f t="shared" si="5"/>
        <v>47002569.57</v>
      </c>
      <c r="H50" s="381">
        <f>H23</f>
        <v>29641856.969999999</v>
      </c>
      <c r="I50" s="381">
        <f>I23</f>
        <v>23601180.91</v>
      </c>
      <c r="J50" s="381">
        <f t="shared" si="6"/>
        <v>199792.25</v>
      </c>
    </row>
    <row r="51" spans="1:11" ht="12" customHeight="1" x14ac:dyDescent="0.2">
      <c r="A51" s="99"/>
      <c r="B51" s="106"/>
      <c r="C51" s="611" t="s">
        <v>234</v>
      </c>
      <c r="D51" s="612"/>
      <c r="E51" s="329"/>
      <c r="F51" s="329"/>
      <c r="G51" s="329"/>
      <c r="H51" s="329"/>
      <c r="I51" s="329"/>
      <c r="J51" s="381">
        <f t="shared" si="6"/>
        <v>0</v>
      </c>
    </row>
    <row r="52" spans="1:11" s="1" customFormat="1" ht="12" customHeight="1" x14ac:dyDescent="0.2">
      <c r="A52" s="96"/>
      <c r="B52" s="121"/>
      <c r="C52" s="122"/>
      <c r="D52" s="123"/>
      <c r="E52" s="381"/>
      <c r="F52" s="381"/>
      <c r="G52" s="381"/>
      <c r="H52" s="381"/>
      <c r="I52" s="381"/>
      <c r="J52" s="381"/>
      <c r="K52" s="124"/>
    </row>
    <row r="53" spans="1:11" ht="12" customHeight="1" x14ac:dyDescent="0.2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 x14ac:dyDescent="0.2">
      <c r="A54" s="99"/>
      <c r="B54" s="106"/>
      <c r="C54" s="611" t="s">
        <v>235</v>
      </c>
      <c r="D54" s="612"/>
      <c r="E54" s="381">
        <f>E26</f>
        <v>0</v>
      </c>
      <c r="F54" s="381">
        <f>F26</f>
        <v>0</v>
      </c>
      <c r="G54" s="381">
        <f>+E54+F54</f>
        <v>0</v>
      </c>
      <c r="H54" s="381">
        <f>H26</f>
        <v>0</v>
      </c>
      <c r="I54" s="381">
        <f>I26</f>
        <v>0</v>
      </c>
      <c r="J54" s="381">
        <f t="shared" si="6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236</v>
      </c>
      <c r="E56" s="116">
        <f>+E36+E37+E38+E39+E42+E45+E46+E48+E53</f>
        <v>23401388.66</v>
      </c>
      <c r="F56" s="116">
        <f>+F36+F37+F38+F39+F42+F45+F46+F48+F53</f>
        <v>23601180.91</v>
      </c>
      <c r="G56" s="116">
        <f>+G36+G37+G38+G39+G42+G45+G46+G48+G53</f>
        <v>47002569.57</v>
      </c>
      <c r="H56" s="116">
        <f>+H36+H37+H38+H39+H42+H45+H46+H48+H53</f>
        <v>29641856.969999999</v>
      </c>
      <c r="I56" s="116">
        <f>+I36+I37+I38+I39+I42+I45+I46+I48+I53</f>
        <v>23601180.91</v>
      </c>
      <c r="J56" s="605">
        <f>+J35+J48+J53</f>
        <v>199792.25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07" t="s">
        <v>774</v>
      </c>
      <c r="I57" s="608"/>
      <c r="J57" s="606"/>
    </row>
    <row r="58" spans="1:11" ht="12" customHeight="1" x14ac:dyDescent="0.2">
      <c r="B58" s="613" t="s">
        <v>149</v>
      </c>
      <c r="C58" s="613"/>
      <c r="D58" s="613"/>
      <c r="E58" s="613"/>
      <c r="F58" s="613"/>
      <c r="G58" s="613"/>
      <c r="H58" s="613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x14ac:dyDescent="0.2">
      <c r="C61" s="1"/>
      <c r="D61" s="1"/>
      <c r="E61" s="1"/>
      <c r="F61" s="1"/>
      <c r="G61" s="1"/>
      <c r="H61" s="1"/>
      <c r="I61" s="1"/>
      <c r="J61" s="1"/>
    </row>
    <row r="62" spans="1:11" x14ac:dyDescent="0.2">
      <c r="C62" s="1"/>
      <c r="D62" s="1"/>
      <c r="E62" s="1"/>
      <c r="F62" s="1"/>
      <c r="G62" s="1"/>
      <c r="H62" s="1"/>
      <c r="I62" s="1"/>
      <c r="J62" s="1"/>
    </row>
    <row r="63" spans="1:11" x14ac:dyDescent="0.2">
      <c r="C63" s="1"/>
      <c r="D63" s="307"/>
      <c r="E63" s="1"/>
      <c r="F63" s="1"/>
      <c r="G63" s="307"/>
      <c r="H63" s="307"/>
      <c r="I63" s="307"/>
      <c r="J63" s="1"/>
    </row>
    <row r="64" spans="1:11" x14ac:dyDescent="0.2">
      <c r="C64" s="1"/>
      <c r="D64" s="308" t="str">
        <f>+ENTE!D10</f>
        <v xml:space="preserve">M. EN A.  GONZALO FERREIRA MARTÍNEZ </v>
      </c>
      <c r="E64" s="1"/>
      <c r="F64" s="1"/>
      <c r="G64" s="609" t="str">
        <f>+ENTE!D14</f>
        <v>C.P.  ELDA GRACIELA FLORES HERNÁNDEZ</v>
      </c>
      <c r="H64" s="609"/>
      <c r="I64" s="609"/>
      <c r="J64" s="1"/>
    </row>
    <row r="65" spans="3:10" x14ac:dyDescent="0.2">
      <c r="C65" s="1"/>
      <c r="D65" s="309" t="str">
        <f>+ENTE!D12</f>
        <v>DIRECTOR DE ADMINISTRACIÓN  Y FINANZAS</v>
      </c>
      <c r="E65" s="1"/>
      <c r="F65" s="1"/>
      <c r="G65" s="610" t="str">
        <f>+ENTE!D16</f>
        <v>JEFA DEL DEPARTAMENTO DE ADMINISTRACIÓN FINANCIERA</v>
      </c>
      <c r="H65" s="610"/>
      <c r="I65" s="610"/>
      <c r="J65" s="1"/>
    </row>
  </sheetData>
  <sheetProtection algorithmName="SHA-512" hashValue="Qw5XUE+bsh8m/IvnFiWCF3qsvjCHqZQvNrTWXUz7fvNBbFbef4kV6AL18skFOOOaq+I31A303FZlCwTpNf0BgA==" saltValue="EoNqk36Z/6SNTZQWDOrAHg==" spinCount="100000" sheet="1" objects="1" scenarios="1" selectLockedCells="1"/>
  <mergeCells count="45"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J28:J29"/>
    <mergeCell ref="H29:I29"/>
    <mergeCell ref="B31:D33"/>
    <mergeCell ref="E31:I31"/>
    <mergeCell ref="J31:J32"/>
    <mergeCell ref="C36:D36"/>
    <mergeCell ref="C37:D37"/>
    <mergeCell ref="C38:D38"/>
    <mergeCell ref="C39:D39"/>
    <mergeCell ref="C42:D4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&amp;C&amp;A&amp;RPágina &amp;P</oddFooter>
  </headerFooter>
  <ignoredErrors>
    <ignoredError sqref="E39:E42 F39:F42 H39:H42 I39:I42 G51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topLeftCell="A37" zoomScaleNormal="80" zoomScaleSheetLayoutView="100" workbookViewId="0">
      <selection activeCell="D78" sqref="D78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27" customWidth="1"/>
    <col min="5" max="5" width="16.85546875" style="327" customWidth="1"/>
    <col min="6" max="6" width="15" style="327" customWidth="1"/>
    <col min="7" max="7" width="16.5703125" style="327" customWidth="1"/>
    <col min="8" max="8" width="16.85546875" style="327" customWidth="1"/>
    <col min="9" max="9" width="14" style="327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24"/>
      <c r="E1" s="324"/>
      <c r="F1" s="324"/>
      <c r="G1" s="324"/>
      <c r="H1" s="324"/>
      <c r="I1" s="324"/>
    </row>
    <row r="2" spans="1:10" s="268" customFormat="1" x14ac:dyDescent="0.2">
      <c r="A2" s="201"/>
      <c r="B2" s="602"/>
      <c r="C2" s="602"/>
      <c r="D2" s="602"/>
      <c r="E2" s="602"/>
      <c r="F2" s="602"/>
      <c r="G2" s="602"/>
      <c r="H2" s="602"/>
      <c r="I2" s="602"/>
      <c r="J2" s="201"/>
    </row>
    <row r="3" spans="1:10" s="268" customFormat="1" x14ac:dyDescent="0.2">
      <c r="A3" s="201"/>
      <c r="B3" s="621" t="s">
        <v>637</v>
      </c>
      <c r="C3" s="621"/>
      <c r="D3" s="621"/>
      <c r="E3" s="621"/>
      <c r="F3" s="621"/>
      <c r="G3" s="621"/>
      <c r="H3" s="621"/>
      <c r="I3" s="621"/>
      <c r="J3" s="201"/>
    </row>
    <row r="4" spans="1:10" s="268" customFormat="1" x14ac:dyDescent="0.2">
      <c r="A4" s="201"/>
      <c r="B4" s="621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21"/>
      <c r="D4" s="621"/>
      <c r="E4" s="621"/>
      <c r="F4" s="621"/>
      <c r="G4" s="621"/>
      <c r="H4" s="621"/>
      <c r="I4" s="621"/>
      <c r="J4" s="201"/>
    </row>
    <row r="5" spans="1:10" s="268" customFormat="1" x14ac:dyDescent="0.2">
      <c r="A5" s="201"/>
      <c r="B5" s="621" t="s">
        <v>92</v>
      </c>
      <c r="C5" s="621"/>
      <c r="D5" s="621"/>
      <c r="E5" s="621"/>
      <c r="F5" s="621"/>
      <c r="G5" s="621"/>
      <c r="H5" s="621"/>
      <c r="I5" s="621"/>
      <c r="J5" s="201"/>
    </row>
    <row r="6" spans="1:10" s="268" customFormat="1" x14ac:dyDescent="0.2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 x14ac:dyDescent="0.2">
      <c r="A7" s="201"/>
      <c r="B7" s="198" t="s">
        <v>4</v>
      </c>
      <c r="C7" s="629" t="str">
        <f>+ENTE!D8</f>
        <v xml:space="preserve">UNIVERSIDAD TECNOLÓGICA DE SAN JUAN DEL RÍO </v>
      </c>
      <c r="D7" s="629"/>
      <c r="E7" s="629"/>
      <c r="F7" s="629"/>
      <c r="G7" s="629"/>
      <c r="H7" s="273"/>
      <c r="I7" s="273"/>
      <c r="J7" s="201"/>
    </row>
    <row r="8" spans="1:10" s="268" customFormat="1" x14ac:dyDescent="0.2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 x14ac:dyDescent="0.2">
      <c r="A9" s="201"/>
      <c r="B9" s="625" t="s">
        <v>393</v>
      </c>
      <c r="C9" s="626"/>
      <c r="D9" s="622" t="s">
        <v>433</v>
      </c>
      <c r="E9" s="623"/>
      <c r="F9" s="623"/>
      <c r="G9" s="623"/>
      <c r="H9" s="623"/>
      <c r="I9" s="624"/>
      <c r="J9" s="201"/>
    </row>
    <row r="10" spans="1:10" ht="29.25" customHeight="1" x14ac:dyDescent="0.2">
      <c r="B10" s="627"/>
      <c r="C10" s="628"/>
      <c r="D10" s="296" t="s">
        <v>434</v>
      </c>
      <c r="E10" s="296" t="s">
        <v>646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1:10" x14ac:dyDescent="0.2">
      <c r="B11" s="216"/>
      <c r="C11" s="201"/>
      <c r="D11" s="388"/>
      <c r="E11" s="388"/>
      <c r="F11" s="389"/>
      <c r="G11" s="390"/>
      <c r="H11" s="390"/>
      <c r="I11" s="390"/>
    </row>
    <row r="12" spans="1:10" x14ac:dyDescent="0.2">
      <c r="B12" s="208" t="s">
        <v>435</v>
      </c>
      <c r="C12" s="264"/>
      <c r="D12" s="388"/>
      <c r="E12" s="388"/>
      <c r="F12" s="389"/>
      <c r="G12" s="390"/>
      <c r="H12" s="390"/>
      <c r="I12" s="390"/>
    </row>
    <row r="13" spans="1:10" s="207" customFormat="1" x14ac:dyDescent="0.2">
      <c r="A13" s="200"/>
      <c r="B13" s="208"/>
      <c r="C13" s="264"/>
      <c r="D13" s="391"/>
      <c r="E13" s="391"/>
      <c r="F13" s="392"/>
      <c r="G13" s="393"/>
      <c r="H13" s="392"/>
      <c r="I13" s="393"/>
      <c r="J13" s="200"/>
    </row>
    <row r="14" spans="1:10" x14ac:dyDescent="0.2">
      <c r="B14" s="204" t="s">
        <v>436</v>
      </c>
      <c r="C14" s="201"/>
      <c r="D14" s="391">
        <f>+SUM(SCRI!D13:D21)</f>
        <v>0</v>
      </c>
      <c r="E14" s="391">
        <f>+SUM(SCRI!F13:F21)</f>
        <v>0</v>
      </c>
      <c r="F14" s="392">
        <f t="shared" ref="F14:F20" si="0">+D14+E14</f>
        <v>0</v>
      </c>
      <c r="G14" s="391">
        <f>-SUM(SCRI!G13:G21,SCRI!H13:H21)</f>
        <v>0</v>
      </c>
      <c r="H14" s="392">
        <f>-SUM(SCRI!H13:H21)</f>
        <v>0</v>
      </c>
      <c r="I14" s="393">
        <f t="shared" ref="I14:I20" si="1">+H14-D14</f>
        <v>0</v>
      </c>
    </row>
    <row r="15" spans="1:10" x14ac:dyDescent="0.2">
      <c r="B15" s="204" t="s">
        <v>437</v>
      </c>
      <c r="C15" s="201"/>
      <c r="D15" s="391">
        <f>+SUM(SCRI!D23:D27)</f>
        <v>0</v>
      </c>
      <c r="E15" s="391">
        <f>+SUM(SCRI!F23:F27)</f>
        <v>0</v>
      </c>
      <c r="F15" s="392">
        <f t="shared" si="0"/>
        <v>0</v>
      </c>
      <c r="G15" s="391">
        <f>-SUM(SCRI!G23:G27,SCRI!H23:H27)</f>
        <v>0</v>
      </c>
      <c r="H15" s="392">
        <f>-SUM(SCRI!H23:H27)</f>
        <v>0</v>
      </c>
      <c r="I15" s="393">
        <f t="shared" si="1"/>
        <v>0</v>
      </c>
    </row>
    <row r="16" spans="1:10" x14ac:dyDescent="0.2">
      <c r="B16" s="204" t="s">
        <v>438</v>
      </c>
      <c r="C16" s="201"/>
      <c r="D16" s="391">
        <f>+SUM(SCRI!D29:D30)</f>
        <v>0</v>
      </c>
      <c r="E16" s="391">
        <f>+SUM(SCRI!F29:F30)</f>
        <v>0</v>
      </c>
      <c r="F16" s="392">
        <f t="shared" si="0"/>
        <v>0</v>
      </c>
      <c r="G16" s="391">
        <f>-SUM(SCRI!G29:G30,SCRI!H29:H30)</f>
        <v>0</v>
      </c>
      <c r="H16" s="392">
        <f>-SUM(SCRI!H29:H30)</f>
        <v>0</v>
      </c>
      <c r="I16" s="393">
        <f t="shared" si="1"/>
        <v>0</v>
      </c>
    </row>
    <row r="17" spans="2:9" x14ac:dyDescent="0.2">
      <c r="B17" s="204" t="s">
        <v>439</v>
      </c>
      <c r="C17" s="201"/>
      <c r="D17" s="391">
        <f>+SUM(SCRI!D32:D37)</f>
        <v>0</v>
      </c>
      <c r="E17" s="391">
        <f>+SUM(SCRI!F32:F37)</f>
        <v>0</v>
      </c>
      <c r="F17" s="392">
        <f t="shared" si="0"/>
        <v>0</v>
      </c>
      <c r="G17" s="391">
        <f>-SUM(SCRI!G32:G37,SCRI!H32:H37)</f>
        <v>0</v>
      </c>
      <c r="H17" s="392">
        <f>-SUM(SCRI!H32:H37)</f>
        <v>0</v>
      </c>
      <c r="I17" s="393">
        <f t="shared" si="1"/>
        <v>0</v>
      </c>
    </row>
    <row r="18" spans="2:9" x14ac:dyDescent="0.2">
      <c r="B18" s="204" t="s">
        <v>440</v>
      </c>
      <c r="C18" s="201"/>
      <c r="D18" s="391">
        <f>+SUM(SCRI!D39:D41)</f>
        <v>0</v>
      </c>
      <c r="E18" s="391">
        <f>+SUM(SCRI!F39:F41)</f>
        <v>0</v>
      </c>
      <c r="F18" s="392">
        <f t="shared" si="0"/>
        <v>0</v>
      </c>
      <c r="G18" s="391">
        <f>-SUM(SCRI!G39:G41,SCRI!H39:H41)</f>
        <v>0</v>
      </c>
      <c r="H18" s="392">
        <f>-SUM(SCRI!H39:H41)</f>
        <v>0</v>
      </c>
      <c r="I18" s="393">
        <f t="shared" si="1"/>
        <v>0</v>
      </c>
    </row>
    <row r="19" spans="2:9" x14ac:dyDescent="0.2">
      <c r="B19" s="204" t="s">
        <v>441</v>
      </c>
      <c r="C19" s="201"/>
      <c r="D19" s="391">
        <f>+SUM(SCRI!D43:D45)</f>
        <v>0</v>
      </c>
      <c r="E19" s="391">
        <f>+SUM(SCRI!F43:F45)</f>
        <v>0</v>
      </c>
      <c r="F19" s="392">
        <f t="shared" si="0"/>
        <v>0</v>
      </c>
      <c r="G19" s="391">
        <f>-SUM(SCRI!G43:G45,SCRI!H43:H45)</f>
        <v>0</v>
      </c>
      <c r="H19" s="392">
        <f>-SUM(SCRI!H43:H45)</f>
        <v>0</v>
      </c>
      <c r="I19" s="393">
        <f t="shared" si="1"/>
        <v>0</v>
      </c>
    </row>
    <row r="20" spans="2:9" x14ac:dyDescent="0.2">
      <c r="B20" s="204" t="s">
        <v>442</v>
      </c>
      <c r="C20" s="201"/>
      <c r="D20" s="391">
        <f>+SUM(SCRI!D47:D49)</f>
        <v>23401388.66</v>
      </c>
      <c r="E20" s="391">
        <f>+SUM(SCRI!F47:F49)</f>
        <v>23601180.91</v>
      </c>
      <c r="F20" s="392">
        <f t="shared" si="0"/>
        <v>47002569.57</v>
      </c>
      <c r="G20" s="391">
        <f>-SUM(SCRI!G47:G49,SCRI!H47:H49)</f>
        <v>29641856.969999999</v>
      </c>
      <c r="H20" s="392">
        <f>-SUM(SCRI!H47:H49)</f>
        <v>23601180.91</v>
      </c>
      <c r="I20" s="393">
        <f t="shared" si="1"/>
        <v>199792.25</v>
      </c>
    </row>
    <row r="21" spans="2:9" x14ac:dyDescent="0.2">
      <c r="B21" s="204" t="s">
        <v>772</v>
      </c>
      <c r="C21" s="201"/>
      <c r="D21" s="391">
        <f t="shared" ref="D21:I21" si="2">SUM(D23:D33)</f>
        <v>0</v>
      </c>
      <c r="E21" s="391">
        <f t="shared" si="2"/>
        <v>0</v>
      </c>
      <c r="F21" s="392">
        <f t="shared" si="2"/>
        <v>0</v>
      </c>
      <c r="G21" s="391">
        <f t="shared" si="2"/>
        <v>0</v>
      </c>
      <c r="H21" s="392">
        <f t="shared" si="2"/>
        <v>0</v>
      </c>
      <c r="I21" s="392">
        <f t="shared" si="2"/>
        <v>0</v>
      </c>
    </row>
    <row r="22" spans="2:9" x14ac:dyDescent="0.2">
      <c r="B22" s="204"/>
      <c r="C22" s="201"/>
      <c r="D22" s="391"/>
      <c r="E22" s="391"/>
      <c r="F22" s="392"/>
      <c r="G22" s="391"/>
      <c r="H22" s="392"/>
      <c r="I22" s="393"/>
    </row>
    <row r="23" spans="2:9" x14ac:dyDescent="0.2">
      <c r="B23" s="204" t="s">
        <v>443</v>
      </c>
      <c r="C23" s="201"/>
      <c r="D23" s="391">
        <f>+SCRI!D51</f>
        <v>0</v>
      </c>
      <c r="E23" s="391">
        <f>+SCRI!F51</f>
        <v>0</v>
      </c>
      <c r="F23" s="392">
        <f t="shared" ref="F23:F33" si="3">+D23+E23</f>
        <v>0</v>
      </c>
      <c r="G23" s="391">
        <f>-(SCRI!G51+SCRI!H51)</f>
        <v>0</v>
      </c>
      <c r="H23" s="392">
        <f>-SCRI!H51</f>
        <v>0</v>
      </c>
      <c r="I23" s="393">
        <f t="shared" ref="I23:I33" si="4">+H23-D23</f>
        <v>0</v>
      </c>
    </row>
    <row r="24" spans="2:9" x14ac:dyDescent="0.2">
      <c r="B24" s="619" t="s">
        <v>444</v>
      </c>
      <c r="C24" s="620"/>
      <c r="D24" s="391">
        <f>+SCRI!D52</f>
        <v>0</v>
      </c>
      <c r="E24" s="391">
        <f>+SCRI!F52</f>
        <v>0</v>
      </c>
      <c r="F24" s="392">
        <f t="shared" si="3"/>
        <v>0</v>
      </c>
      <c r="G24" s="391">
        <f>-(SCRI!G52+SCRI!H52)</f>
        <v>0</v>
      </c>
      <c r="H24" s="392">
        <f>-SCRI!H52</f>
        <v>0</v>
      </c>
      <c r="I24" s="393">
        <f t="shared" si="4"/>
        <v>0</v>
      </c>
    </row>
    <row r="25" spans="2:9" x14ac:dyDescent="0.2">
      <c r="B25" s="619" t="s">
        <v>445</v>
      </c>
      <c r="C25" s="620"/>
      <c r="D25" s="391">
        <f>+SCRI!D53</f>
        <v>0</v>
      </c>
      <c r="E25" s="391">
        <f>+SCRI!F53</f>
        <v>0</v>
      </c>
      <c r="F25" s="392">
        <f t="shared" si="3"/>
        <v>0</v>
      </c>
      <c r="G25" s="391">
        <f>-(SCRI!G53+SCRI!H53)</f>
        <v>0</v>
      </c>
      <c r="H25" s="392">
        <f>-SCRI!H53</f>
        <v>0</v>
      </c>
      <c r="I25" s="393">
        <f t="shared" si="4"/>
        <v>0</v>
      </c>
    </row>
    <row r="26" spans="2:9" x14ac:dyDescent="0.2">
      <c r="B26" s="233" t="s">
        <v>446</v>
      </c>
      <c r="C26" s="214"/>
      <c r="D26" s="391">
        <f>+SCRI!D54</f>
        <v>0</v>
      </c>
      <c r="E26" s="391">
        <f>+SCRI!F54</f>
        <v>0</v>
      </c>
      <c r="F26" s="392">
        <f t="shared" si="3"/>
        <v>0</v>
      </c>
      <c r="G26" s="391">
        <f>-(SCRI!G54+SCRI!H54)</f>
        <v>0</v>
      </c>
      <c r="H26" s="392">
        <f>-SCRI!H54</f>
        <v>0</v>
      </c>
      <c r="I26" s="393">
        <f t="shared" si="4"/>
        <v>0</v>
      </c>
    </row>
    <row r="27" spans="2:9" x14ac:dyDescent="0.2">
      <c r="B27" s="619" t="s">
        <v>447</v>
      </c>
      <c r="C27" s="620"/>
      <c r="D27" s="391">
        <f>+SCRI!D55</f>
        <v>0</v>
      </c>
      <c r="E27" s="391">
        <f>+SCRI!F55</f>
        <v>0</v>
      </c>
      <c r="F27" s="392">
        <f t="shared" si="3"/>
        <v>0</v>
      </c>
      <c r="G27" s="391">
        <f>-(SCRI!G55+SCRI!H55)</f>
        <v>0</v>
      </c>
      <c r="H27" s="392">
        <f>-SCRI!H55</f>
        <v>0</v>
      </c>
      <c r="I27" s="393">
        <f t="shared" si="4"/>
        <v>0</v>
      </c>
    </row>
    <row r="28" spans="2:9" x14ac:dyDescent="0.2">
      <c r="B28" s="238" t="s">
        <v>448</v>
      </c>
      <c r="C28" s="270"/>
      <c r="D28" s="391">
        <f>+SCRI!D56</f>
        <v>0</v>
      </c>
      <c r="E28" s="391">
        <f>+SCRI!F56</f>
        <v>0</v>
      </c>
      <c r="F28" s="392">
        <f t="shared" si="3"/>
        <v>0</v>
      </c>
      <c r="G28" s="391">
        <f>-(SCRI!G56+SCRI!H56)</f>
        <v>0</v>
      </c>
      <c r="H28" s="392">
        <f>-SCRI!H56</f>
        <v>0</v>
      </c>
      <c r="I28" s="393">
        <f t="shared" si="4"/>
        <v>0</v>
      </c>
    </row>
    <row r="29" spans="2:9" x14ac:dyDescent="0.2">
      <c r="B29" s="204" t="s">
        <v>449</v>
      </c>
      <c r="C29" s="201"/>
      <c r="D29" s="391">
        <f>+SCRI!D57</f>
        <v>0</v>
      </c>
      <c r="E29" s="391">
        <f>+SCRI!F57</f>
        <v>0</v>
      </c>
      <c r="F29" s="392">
        <f t="shared" si="3"/>
        <v>0</v>
      </c>
      <c r="G29" s="391">
        <f>-(SCRI!G57+SCRI!H57)</f>
        <v>0</v>
      </c>
      <c r="H29" s="392">
        <f>-SCRI!H57</f>
        <v>0</v>
      </c>
      <c r="I29" s="393">
        <f t="shared" si="4"/>
        <v>0</v>
      </c>
    </row>
    <row r="30" spans="2:9" x14ac:dyDescent="0.2">
      <c r="B30" s="204" t="s">
        <v>450</v>
      </c>
      <c r="C30" s="201"/>
      <c r="D30" s="391">
        <f>+SCRI!D58</f>
        <v>0</v>
      </c>
      <c r="E30" s="391">
        <f>+SCRI!F58</f>
        <v>0</v>
      </c>
      <c r="F30" s="392">
        <f t="shared" si="3"/>
        <v>0</v>
      </c>
      <c r="G30" s="391">
        <f>-(SCRI!G58+SCRI!H58)</f>
        <v>0</v>
      </c>
      <c r="H30" s="392">
        <f>-SCRI!H58</f>
        <v>0</v>
      </c>
      <c r="I30" s="393">
        <f t="shared" si="4"/>
        <v>0</v>
      </c>
    </row>
    <row r="31" spans="2:9" x14ac:dyDescent="0.2">
      <c r="B31" s="204" t="s">
        <v>451</v>
      </c>
      <c r="C31" s="201"/>
      <c r="D31" s="391">
        <f>+SCRI!D59</f>
        <v>0</v>
      </c>
      <c r="E31" s="391">
        <f>+SCRI!F59</f>
        <v>0</v>
      </c>
      <c r="F31" s="392">
        <f t="shared" si="3"/>
        <v>0</v>
      </c>
      <c r="G31" s="391">
        <f>-(SCRI!G59+SCRI!H59)</f>
        <v>0</v>
      </c>
      <c r="H31" s="392">
        <f>-SCRI!H59</f>
        <v>0</v>
      </c>
      <c r="I31" s="393">
        <f t="shared" si="4"/>
        <v>0</v>
      </c>
    </row>
    <row r="32" spans="2:9" x14ac:dyDescent="0.2">
      <c r="B32" s="204" t="s">
        <v>452</v>
      </c>
      <c r="C32" s="201"/>
      <c r="D32" s="391">
        <f>+SCRI!D60</f>
        <v>0</v>
      </c>
      <c r="E32" s="391">
        <f>+SCRI!F60</f>
        <v>0</v>
      </c>
      <c r="F32" s="392">
        <f t="shared" si="3"/>
        <v>0</v>
      </c>
      <c r="G32" s="391">
        <f>-(SCRI!G60+SCRI!H60)</f>
        <v>0</v>
      </c>
      <c r="H32" s="392">
        <f>-SCRI!H60</f>
        <v>0</v>
      </c>
      <c r="I32" s="393">
        <f t="shared" si="4"/>
        <v>0</v>
      </c>
    </row>
    <row r="33" spans="2:9" x14ac:dyDescent="0.2">
      <c r="B33" s="619" t="s">
        <v>453</v>
      </c>
      <c r="C33" s="620"/>
      <c r="D33" s="394">
        <f>+SCRI!D61</f>
        <v>0</v>
      </c>
      <c r="E33" s="394">
        <f>+SCRI!F61</f>
        <v>0</v>
      </c>
      <c r="F33" s="395">
        <f t="shared" si="3"/>
        <v>0</v>
      </c>
      <c r="G33" s="394">
        <f>-(SCRI!G61+SCRI!H61)</f>
        <v>0</v>
      </c>
      <c r="H33" s="395">
        <f>-SCRI!H61</f>
        <v>0</v>
      </c>
      <c r="I33" s="393">
        <f t="shared" si="4"/>
        <v>0</v>
      </c>
    </row>
    <row r="34" spans="2:9" x14ac:dyDescent="0.2">
      <c r="B34" s="619" t="s">
        <v>454</v>
      </c>
      <c r="C34" s="620"/>
      <c r="D34" s="391">
        <f t="shared" ref="D34:I34" si="5">SUM(D35:D39)</f>
        <v>0</v>
      </c>
      <c r="E34" s="391">
        <f t="shared" si="5"/>
        <v>0</v>
      </c>
      <c r="F34" s="392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</row>
    <row r="35" spans="2:9" x14ac:dyDescent="0.2">
      <c r="B35" s="204" t="s">
        <v>455</v>
      </c>
      <c r="C35" s="201"/>
      <c r="D35" s="391">
        <f>+SCRI!D63</f>
        <v>0</v>
      </c>
      <c r="E35" s="391">
        <f>+SCRI!F63</f>
        <v>0</v>
      </c>
      <c r="F35" s="392">
        <f t="shared" ref="F35:F45" si="6">+D35+E35</f>
        <v>0</v>
      </c>
      <c r="G35" s="391">
        <f>-(SCRI!G63+SCRI!H63)</f>
        <v>0</v>
      </c>
      <c r="H35" s="392">
        <f>-SCRI!H63</f>
        <v>0</v>
      </c>
      <c r="I35" s="393">
        <f t="shared" ref="I35:I45" si="7">+H35-D35</f>
        <v>0</v>
      </c>
    </row>
    <row r="36" spans="2:9" x14ac:dyDescent="0.2">
      <c r="B36" s="204" t="s">
        <v>456</v>
      </c>
      <c r="C36" s="201"/>
      <c r="D36" s="391">
        <f>+SCRI!D64</f>
        <v>0</v>
      </c>
      <c r="E36" s="391">
        <f>+SCRI!F64</f>
        <v>0</v>
      </c>
      <c r="F36" s="392">
        <f t="shared" si="6"/>
        <v>0</v>
      </c>
      <c r="G36" s="391">
        <f>-(SCRI!G64+SCRI!H64)</f>
        <v>0</v>
      </c>
      <c r="H36" s="392">
        <f>-SCRI!H64</f>
        <v>0</v>
      </c>
      <c r="I36" s="393">
        <f t="shared" si="7"/>
        <v>0</v>
      </c>
    </row>
    <row r="37" spans="2:9" x14ac:dyDescent="0.2">
      <c r="B37" s="204" t="s">
        <v>457</v>
      </c>
      <c r="C37" s="201"/>
      <c r="D37" s="391">
        <f>+SCRI!D65</f>
        <v>0</v>
      </c>
      <c r="E37" s="391">
        <f>+SCRI!F65</f>
        <v>0</v>
      </c>
      <c r="F37" s="392">
        <f t="shared" si="6"/>
        <v>0</v>
      </c>
      <c r="G37" s="391">
        <f>-(SCRI!G65+SCRI!H65)</f>
        <v>0</v>
      </c>
      <c r="H37" s="392">
        <f>-SCRI!H65</f>
        <v>0</v>
      </c>
      <c r="I37" s="393">
        <f t="shared" si="7"/>
        <v>0</v>
      </c>
    </row>
    <row r="38" spans="2:9" x14ac:dyDescent="0.2">
      <c r="B38" s="204" t="s">
        <v>458</v>
      </c>
      <c r="C38" s="201"/>
      <c r="D38" s="391">
        <f>+SCRI!D66</f>
        <v>0</v>
      </c>
      <c r="E38" s="391">
        <f>+SCRI!F66</f>
        <v>0</v>
      </c>
      <c r="F38" s="392">
        <f t="shared" si="6"/>
        <v>0</v>
      </c>
      <c r="G38" s="391">
        <f>-(SCRI!G66+SCRI!H66)</f>
        <v>0</v>
      </c>
      <c r="H38" s="392">
        <f>-SCRI!H66</f>
        <v>0</v>
      </c>
      <c r="I38" s="393">
        <f t="shared" si="7"/>
        <v>0</v>
      </c>
    </row>
    <row r="39" spans="2:9" x14ac:dyDescent="0.2">
      <c r="B39" s="204" t="s">
        <v>459</v>
      </c>
      <c r="C39" s="201"/>
      <c r="D39" s="391">
        <f>+SCRI!D67</f>
        <v>0</v>
      </c>
      <c r="E39" s="391">
        <f>+SCRI!F67</f>
        <v>0</v>
      </c>
      <c r="F39" s="392">
        <f t="shared" si="6"/>
        <v>0</v>
      </c>
      <c r="G39" s="391">
        <f>-(SCRI!G67+SCRI!H67)</f>
        <v>0</v>
      </c>
      <c r="H39" s="392">
        <f>-SCRI!H67</f>
        <v>0</v>
      </c>
      <c r="I39" s="393">
        <f t="shared" si="7"/>
        <v>0</v>
      </c>
    </row>
    <row r="40" spans="2:9" x14ac:dyDescent="0.2">
      <c r="B40" s="204" t="s">
        <v>460</v>
      </c>
      <c r="C40" s="201"/>
      <c r="D40" s="391">
        <f>+SCRI!D68</f>
        <v>106803559.63</v>
      </c>
      <c r="E40" s="391">
        <f>+SCRI!F68</f>
        <v>115393776.75</v>
      </c>
      <c r="F40" s="392">
        <f t="shared" si="6"/>
        <v>222197336.38</v>
      </c>
      <c r="G40" s="391">
        <f>-(SCRI!G68+SCRI!H68)</f>
        <v>136606192.09</v>
      </c>
      <c r="H40" s="392">
        <f>-SCRI!H68</f>
        <v>115393776.75</v>
      </c>
      <c r="I40" s="393">
        <f t="shared" si="7"/>
        <v>8590217.1200000048</v>
      </c>
    </row>
    <row r="41" spans="2:9" x14ac:dyDescent="0.2">
      <c r="B41" s="204" t="s">
        <v>461</v>
      </c>
      <c r="C41" s="201"/>
      <c r="D41" s="391">
        <f>+D42</f>
        <v>0</v>
      </c>
      <c r="E41" s="391">
        <f>+E42</f>
        <v>0</v>
      </c>
      <c r="F41" s="392">
        <f t="shared" si="6"/>
        <v>0</v>
      </c>
      <c r="G41" s="391">
        <f>+G42</f>
        <v>0</v>
      </c>
      <c r="H41" s="392">
        <f>-H42</f>
        <v>0</v>
      </c>
      <c r="I41" s="393">
        <f t="shared" si="7"/>
        <v>0</v>
      </c>
    </row>
    <row r="42" spans="2:9" x14ac:dyDescent="0.2">
      <c r="B42" s="204" t="s">
        <v>462</v>
      </c>
      <c r="C42" s="201"/>
      <c r="D42" s="391">
        <f>+SCRI!D70</f>
        <v>0</v>
      </c>
      <c r="E42" s="391">
        <f>+SCRI!F70</f>
        <v>0</v>
      </c>
      <c r="F42" s="392">
        <f t="shared" si="6"/>
        <v>0</v>
      </c>
      <c r="G42" s="391">
        <f>-(SCRI!G70+SCRI!H70)</f>
        <v>0</v>
      </c>
      <c r="H42" s="392">
        <f>-SCRI!H70</f>
        <v>0</v>
      </c>
      <c r="I42" s="393">
        <f t="shared" si="7"/>
        <v>0</v>
      </c>
    </row>
    <row r="43" spans="2:9" x14ac:dyDescent="0.2">
      <c r="B43" s="204" t="s">
        <v>769</v>
      </c>
      <c r="C43" s="201"/>
      <c r="D43" s="391">
        <f>+D44+D45</f>
        <v>0</v>
      </c>
      <c r="E43" s="391">
        <f>+E44+E45</f>
        <v>0</v>
      </c>
      <c r="F43" s="392">
        <f t="shared" si="6"/>
        <v>0</v>
      </c>
      <c r="G43" s="391">
        <f>+G44+G45</f>
        <v>0</v>
      </c>
      <c r="H43" s="392">
        <f>-H44+H45</f>
        <v>0</v>
      </c>
      <c r="I43" s="393">
        <f t="shared" si="7"/>
        <v>0</v>
      </c>
    </row>
    <row r="44" spans="2:9" x14ac:dyDescent="0.2">
      <c r="B44" s="204" t="s">
        <v>463</v>
      </c>
      <c r="C44" s="201"/>
      <c r="D44" s="391">
        <f>+SCRI!D72</f>
        <v>0</v>
      </c>
      <c r="E44" s="391">
        <f>+SCRI!F72</f>
        <v>0</v>
      </c>
      <c r="F44" s="392">
        <f t="shared" si="6"/>
        <v>0</v>
      </c>
      <c r="G44" s="391">
        <f>-(SCRI!G72+SCRI!H72)</f>
        <v>0</v>
      </c>
      <c r="H44" s="392">
        <f>-SCRI!H72</f>
        <v>0</v>
      </c>
      <c r="I44" s="393">
        <f t="shared" si="7"/>
        <v>0</v>
      </c>
    </row>
    <row r="45" spans="2:9" x14ac:dyDescent="0.2">
      <c r="B45" s="204" t="s">
        <v>464</v>
      </c>
      <c r="C45" s="201"/>
      <c r="D45" s="391">
        <f>+SCRI!D73</f>
        <v>0</v>
      </c>
      <c r="E45" s="391">
        <f>+SCRI!F73</f>
        <v>0</v>
      </c>
      <c r="F45" s="392">
        <f t="shared" si="6"/>
        <v>0</v>
      </c>
      <c r="G45" s="391">
        <f>-(SCRI!G73+SCRI!H73)</f>
        <v>0</v>
      </c>
      <c r="H45" s="392">
        <f>-SCRI!H73</f>
        <v>0</v>
      </c>
      <c r="I45" s="393">
        <f t="shared" si="7"/>
        <v>0</v>
      </c>
    </row>
    <row r="46" spans="2:9" x14ac:dyDescent="0.2">
      <c r="B46" s="630" t="s">
        <v>647</v>
      </c>
      <c r="C46" s="631"/>
      <c r="D46" s="382">
        <f t="shared" ref="D46:I46" si="8">+D14+D15+D16+D17+D18+D19+D20+D21+D34+D40+D41+D43</f>
        <v>130204948.28999999</v>
      </c>
      <c r="E46" s="382">
        <f t="shared" si="8"/>
        <v>138994957.66</v>
      </c>
      <c r="F46" s="383">
        <f t="shared" si="8"/>
        <v>269199905.94999999</v>
      </c>
      <c r="G46" s="382">
        <f t="shared" si="8"/>
        <v>166248049.06</v>
      </c>
      <c r="H46" s="383">
        <f t="shared" si="8"/>
        <v>138994957.66</v>
      </c>
      <c r="I46" s="383">
        <f t="shared" si="8"/>
        <v>8790009.3700000048</v>
      </c>
    </row>
    <row r="47" spans="2:9" x14ac:dyDescent="0.2">
      <c r="B47" s="204" t="s">
        <v>465</v>
      </c>
      <c r="C47" s="201"/>
      <c r="D47" s="391">
        <f>+SCRI!D74</f>
        <v>0</v>
      </c>
      <c r="E47" s="391">
        <f>+SCRI!F74</f>
        <v>0</v>
      </c>
      <c r="F47" s="392">
        <f>+D47+E47</f>
        <v>0</v>
      </c>
      <c r="G47" s="391">
        <f>-(SCRI!G74+SCRI!G74)</f>
        <v>0</v>
      </c>
      <c r="H47" s="392">
        <f>-SCRI!H74</f>
        <v>0</v>
      </c>
      <c r="I47" s="393">
        <f>+H47-D47</f>
        <v>0</v>
      </c>
    </row>
    <row r="48" spans="2:9" x14ac:dyDescent="0.2">
      <c r="B48" s="204"/>
      <c r="C48" s="201"/>
      <c r="D48" s="391"/>
      <c r="E48" s="391"/>
      <c r="F48" s="392"/>
      <c r="G48" s="391"/>
      <c r="H48" s="392"/>
      <c r="I48" s="393"/>
    </row>
    <row r="49" spans="2:9" x14ac:dyDescent="0.2">
      <c r="B49" s="269" t="s">
        <v>466</v>
      </c>
      <c r="C49" s="271"/>
      <c r="D49" s="391"/>
      <c r="E49" s="391"/>
      <c r="F49" s="392"/>
      <c r="G49" s="391"/>
      <c r="H49" s="392"/>
      <c r="I49" s="393"/>
    </row>
    <row r="50" spans="2:9" x14ac:dyDescent="0.2">
      <c r="B50" s="204" t="s">
        <v>467</v>
      </c>
      <c r="C50" s="201"/>
      <c r="D50" s="391">
        <f>SUM(D51:D58)</f>
        <v>0</v>
      </c>
      <c r="E50" s="391">
        <f>SUM(E51:E58)</f>
        <v>0</v>
      </c>
      <c r="F50" s="392">
        <f t="shared" ref="F50" si="9">SUM(F51:F58)</f>
        <v>0</v>
      </c>
      <c r="G50" s="391">
        <f>SUM(G51:G58)</f>
        <v>0</v>
      </c>
      <c r="H50" s="392">
        <f>SUM(H51:H58)</f>
        <v>0</v>
      </c>
      <c r="I50" s="392">
        <f>SUM(I51:I58)</f>
        <v>0</v>
      </c>
    </row>
    <row r="51" spans="2:9" ht="25.5" customHeight="1" x14ac:dyDescent="0.2">
      <c r="B51" s="619" t="s">
        <v>468</v>
      </c>
      <c r="C51" s="620"/>
      <c r="D51" s="391">
        <f>+SCRI!D78</f>
        <v>0</v>
      </c>
      <c r="E51" s="391">
        <f>+SCRI!F78</f>
        <v>0</v>
      </c>
      <c r="F51" s="392">
        <f t="shared" ref="F51:F58" si="10">+D51+E51</f>
        <v>0</v>
      </c>
      <c r="G51" s="391">
        <f>-(SCRI!G78+SCRI!H78)</f>
        <v>0</v>
      </c>
      <c r="H51" s="392">
        <f>-SCRI!H78</f>
        <v>0</v>
      </c>
      <c r="I51" s="393">
        <f t="shared" ref="I51:I58" si="11">+H51-D51</f>
        <v>0</v>
      </c>
    </row>
    <row r="52" spans="2:9" x14ac:dyDescent="0.2">
      <c r="B52" s="204" t="s">
        <v>469</v>
      </c>
      <c r="C52" s="201"/>
      <c r="D52" s="391">
        <f>+SCRI!D79</f>
        <v>0</v>
      </c>
      <c r="E52" s="391">
        <f>+SCRI!F79</f>
        <v>0</v>
      </c>
      <c r="F52" s="392">
        <f t="shared" si="10"/>
        <v>0</v>
      </c>
      <c r="G52" s="391">
        <f>-(SCRI!G79+SCRI!H79)</f>
        <v>0</v>
      </c>
      <c r="H52" s="392">
        <f>-SCRI!H79</f>
        <v>0</v>
      </c>
      <c r="I52" s="393">
        <f t="shared" si="11"/>
        <v>0</v>
      </c>
    </row>
    <row r="53" spans="2:9" x14ac:dyDescent="0.2">
      <c r="B53" s="204" t="s">
        <v>470</v>
      </c>
      <c r="C53" s="201"/>
      <c r="D53" s="391">
        <f>+SCRI!D80</f>
        <v>0</v>
      </c>
      <c r="E53" s="391">
        <f>+SCRI!F80</f>
        <v>0</v>
      </c>
      <c r="F53" s="392">
        <f t="shared" si="10"/>
        <v>0</v>
      </c>
      <c r="G53" s="391">
        <f>-(SCRI!G80+SCRI!H80)</f>
        <v>0</v>
      </c>
      <c r="H53" s="392">
        <f>-SCRI!H80</f>
        <v>0</v>
      </c>
      <c r="I53" s="393">
        <f t="shared" si="11"/>
        <v>0</v>
      </c>
    </row>
    <row r="54" spans="2:9" ht="36" customHeight="1" x14ac:dyDescent="0.2">
      <c r="B54" s="619" t="s">
        <v>471</v>
      </c>
      <c r="C54" s="620"/>
      <c r="D54" s="391">
        <f>+SCRI!D81</f>
        <v>0</v>
      </c>
      <c r="E54" s="391">
        <f>+SCRI!F81</f>
        <v>0</v>
      </c>
      <c r="F54" s="392">
        <f t="shared" si="10"/>
        <v>0</v>
      </c>
      <c r="G54" s="391">
        <f>-(SCRI!G81+SCRI!H81)</f>
        <v>0</v>
      </c>
      <c r="H54" s="392">
        <f>-SCRI!H81</f>
        <v>0</v>
      </c>
      <c r="I54" s="393">
        <f t="shared" si="11"/>
        <v>0</v>
      </c>
    </row>
    <row r="55" spans="2:9" x14ac:dyDescent="0.2">
      <c r="B55" s="204" t="s">
        <v>472</v>
      </c>
      <c r="C55" s="201"/>
      <c r="D55" s="391">
        <f>+SCRI!D82</f>
        <v>0</v>
      </c>
      <c r="E55" s="391">
        <f>+SCRI!F82</f>
        <v>0</v>
      </c>
      <c r="F55" s="392">
        <f t="shared" si="10"/>
        <v>0</v>
      </c>
      <c r="G55" s="391">
        <f>-(SCRI!G82+SCRI!H82)</f>
        <v>0</v>
      </c>
      <c r="H55" s="392">
        <f>-SCRI!H82</f>
        <v>0</v>
      </c>
      <c r="I55" s="393">
        <f t="shared" si="11"/>
        <v>0</v>
      </c>
    </row>
    <row r="56" spans="2:9" ht="25.5" customHeight="1" x14ac:dyDescent="0.2">
      <c r="B56" s="619" t="s">
        <v>473</v>
      </c>
      <c r="C56" s="620"/>
      <c r="D56" s="391">
        <f>+SCRI!D83</f>
        <v>0</v>
      </c>
      <c r="E56" s="391">
        <f>+SCRI!F83</f>
        <v>0</v>
      </c>
      <c r="F56" s="392">
        <f t="shared" si="10"/>
        <v>0</v>
      </c>
      <c r="G56" s="391">
        <f>-(SCRI!G83+SCRI!H83)</f>
        <v>0</v>
      </c>
      <c r="H56" s="392">
        <f>-SCRI!H83</f>
        <v>0</v>
      </c>
      <c r="I56" s="393">
        <f t="shared" si="11"/>
        <v>0</v>
      </c>
    </row>
    <row r="57" spans="2:9" ht="24.75" customHeight="1" x14ac:dyDescent="0.2">
      <c r="B57" s="619" t="s">
        <v>474</v>
      </c>
      <c r="C57" s="620"/>
      <c r="D57" s="391">
        <f>+SCRI!D84</f>
        <v>0</v>
      </c>
      <c r="E57" s="391">
        <f>+SCRI!F84</f>
        <v>0</v>
      </c>
      <c r="F57" s="392">
        <f t="shared" si="10"/>
        <v>0</v>
      </c>
      <c r="G57" s="391">
        <f>-(SCRI!G84+SCRI!H84)</f>
        <v>0</v>
      </c>
      <c r="H57" s="392">
        <f>-SCRI!H84</f>
        <v>0</v>
      </c>
      <c r="I57" s="393">
        <f t="shared" si="11"/>
        <v>0</v>
      </c>
    </row>
    <row r="58" spans="2:9" ht="24" customHeight="1" x14ac:dyDescent="0.2">
      <c r="B58" s="619" t="s">
        <v>475</v>
      </c>
      <c r="C58" s="620"/>
      <c r="D58" s="391">
        <f>+SCRI!D85</f>
        <v>0</v>
      </c>
      <c r="E58" s="391">
        <f>+SCRI!F85</f>
        <v>0</v>
      </c>
      <c r="F58" s="392">
        <f t="shared" si="10"/>
        <v>0</v>
      </c>
      <c r="G58" s="391">
        <f>-(SCRI!G85+SCRI!H85)</f>
        <v>0</v>
      </c>
      <c r="H58" s="392">
        <f>-SCRI!H85</f>
        <v>0</v>
      </c>
      <c r="I58" s="393">
        <f t="shared" si="11"/>
        <v>0</v>
      </c>
    </row>
    <row r="59" spans="2:9" x14ac:dyDescent="0.2">
      <c r="B59" s="233" t="s">
        <v>476</v>
      </c>
      <c r="C59" s="214"/>
      <c r="D59" s="391">
        <f>SUM(D60:D63)</f>
        <v>0</v>
      </c>
      <c r="E59" s="391">
        <f>SUM(E60:E63)</f>
        <v>0</v>
      </c>
      <c r="F59" s="392">
        <f t="shared" ref="F59" si="12">SUM(F60:F63)</f>
        <v>0</v>
      </c>
      <c r="G59" s="391">
        <f>SUM(G60:G63)</f>
        <v>0</v>
      </c>
      <c r="H59" s="392">
        <f>SUM(H60:H63)</f>
        <v>0</v>
      </c>
      <c r="I59" s="392">
        <f>SUM(I60:I63)</f>
        <v>0</v>
      </c>
    </row>
    <row r="60" spans="2:9" x14ac:dyDescent="0.2">
      <c r="B60" s="619" t="s">
        <v>477</v>
      </c>
      <c r="C60" s="620"/>
      <c r="D60" s="391">
        <f>+SCRI!D87</f>
        <v>0</v>
      </c>
      <c r="E60" s="391">
        <f>+SCRI!F87</f>
        <v>0</v>
      </c>
      <c r="F60" s="392">
        <f>+D60+E60</f>
        <v>0</v>
      </c>
      <c r="G60" s="391">
        <f>-(SCRI!G87+SCRI!H87)</f>
        <v>0</v>
      </c>
      <c r="H60" s="392">
        <f>-SCRI!H87</f>
        <v>0</v>
      </c>
      <c r="I60" s="393">
        <f>+H60-D60</f>
        <v>0</v>
      </c>
    </row>
    <row r="61" spans="2:9" x14ac:dyDescent="0.2">
      <c r="B61" s="238" t="s">
        <v>478</v>
      </c>
      <c r="C61" s="270"/>
      <c r="D61" s="391">
        <f>+SCRI!D88</f>
        <v>0</v>
      </c>
      <c r="E61" s="391">
        <f>+SCRI!F88</f>
        <v>0</v>
      </c>
      <c r="F61" s="392">
        <f>+D61+E61</f>
        <v>0</v>
      </c>
      <c r="G61" s="391">
        <f>-(SCRI!G88+SCRI!H88)</f>
        <v>0</v>
      </c>
      <c r="H61" s="392">
        <f>-SCRI!H88</f>
        <v>0</v>
      </c>
      <c r="I61" s="393">
        <f>+H61-D61</f>
        <v>0</v>
      </c>
    </row>
    <row r="62" spans="2:9" x14ac:dyDescent="0.2">
      <c r="B62" s="204" t="s">
        <v>479</v>
      </c>
      <c r="C62" s="201"/>
      <c r="D62" s="391">
        <f>+SCRI!D89</f>
        <v>0</v>
      </c>
      <c r="E62" s="391">
        <f>+SCRI!F89</f>
        <v>0</v>
      </c>
      <c r="F62" s="392">
        <f>+D62+E62</f>
        <v>0</v>
      </c>
      <c r="G62" s="391">
        <f>-(SCRI!G89+SCRI!H89)</f>
        <v>0</v>
      </c>
      <c r="H62" s="392">
        <f>-SCRI!H89</f>
        <v>0</v>
      </c>
      <c r="I62" s="393">
        <f>+H62-D62</f>
        <v>0</v>
      </c>
    </row>
    <row r="63" spans="2:9" x14ac:dyDescent="0.2">
      <c r="B63" s="204" t="s">
        <v>480</v>
      </c>
      <c r="C63" s="201"/>
      <c r="D63" s="391">
        <f>+SCRI!D90</f>
        <v>0</v>
      </c>
      <c r="E63" s="391">
        <f>+SCRI!F90</f>
        <v>0</v>
      </c>
      <c r="F63" s="392">
        <f>+D63+E63</f>
        <v>0</v>
      </c>
      <c r="G63" s="391">
        <f>-(SCRI!G90+SCRI!H90)</f>
        <v>0</v>
      </c>
      <c r="H63" s="392">
        <f>-SCRI!H90</f>
        <v>0</v>
      </c>
      <c r="I63" s="393">
        <f>+H63-D63</f>
        <v>0</v>
      </c>
    </row>
    <row r="64" spans="2:9" x14ac:dyDescent="0.2">
      <c r="B64" s="204" t="s">
        <v>481</v>
      </c>
      <c r="C64" s="201"/>
      <c r="D64" s="391">
        <f>SUM(D65:D66)</f>
        <v>0</v>
      </c>
      <c r="E64" s="391">
        <f>SUM(E65:E66)</f>
        <v>0</v>
      </c>
      <c r="F64" s="392">
        <f t="shared" ref="F64" si="13">SUM(F65:F66)</f>
        <v>0</v>
      </c>
      <c r="G64" s="391">
        <f>SUM(G65:G66)</f>
        <v>0</v>
      </c>
      <c r="H64" s="392">
        <f>SUM(H65:H66)</f>
        <v>0</v>
      </c>
      <c r="I64" s="392">
        <f>SUM(I65:I66)</f>
        <v>0</v>
      </c>
    </row>
    <row r="65" spans="2:9" x14ac:dyDescent="0.2">
      <c r="B65" s="619" t="s">
        <v>482</v>
      </c>
      <c r="C65" s="620"/>
      <c r="D65" s="391">
        <f>+SCRI!D92</f>
        <v>0</v>
      </c>
      <c r="E65" s="391">
        <f>+SCRI!F92</f>
        <v>0</v>
      </c>
      <c r="F65" s="392">
        <f>+D65+E65</f>
        <v>0</v>
      </c>
      <c r="G65" s="391">
        <f>-(SCRI!G92+SCRI!H92)</f>
        <v>0</v>
      </c>
      <c r="H65" s="392">
        <f>-SCRI!H92</f>
        <v>0</v>
      </c>
      <c r="I65" s="393">
        <f>+H65-D65</f>
        <v>0</v>
      </c>
    </row>
    <row r="66" spans="2:9" x14ac:dyDescent="0.2">
      <c r="B66" s="233" t="s">
        <v>483</v>
      </c>
      <c r="C66" s="214"/>
      <c r="D66" s="391">
        <f>+SCRI!D93</f>
        <v>0</v>
      </c>
      <c r="E66" s="391">
        <f>+SCRI!F93</f>
        <v>0</v>
      </c>
      <c r="F66" s="392">
        <f>+D66+E66</f>
        <v>0</v>
      </c>
      <c r="G66" s="391">
        <f>-(SCRI!G93+SCRI!H93)</f>
        <v>0</v>
      </c>
      <c r="H66" s="392">
        <f>-SCRI!H93</f>
        <v>0</v>
      </c>
      <c r="I66" s="393">
        <f>+H66-D66</f>
        <v>0</v>
      </c>
    </row>
    <row r="67" spans="2:9" x14ac:dyDescent="0.2">
      <c r="B67" s="619" t="s">
        <v>484</v>
      </c>
      <c r="C67" s="620"/>
      <c r="D67" s="391">
        <f>+SUM(SCRI!D95:D102)</f>
        <v>0</v>
      </c>
      <c r="E67" s="391">
        <f>+SUM(SCRI!F95:F102)</f>
        <v>0</v>
      </c>
      <c r="F67" s="392">
        <f>+D67+E67</f>
        <v>0</v>
      </c>
      <c r="G67" s="391">
        <f>-SUM(SCRI!G95:G102,SCRI!H95:H102)</f>
        <v>0</v>
      </c>
      <c r="H67" s="392">
        <f>-SUM(SCRI!H95:H102)</f>
        <v>0</v>
      </c>
      <c r="I67" s="393">
        <f>+H67-D67</f>
        <v>0</v>
      </c>
    </row>
    <row r="68" spans="2:9" x14ac:dyDescent="0.2">
      <c r="B68" s="204" t="s">
        <v>485</v>
      </c>
      <c r="C68" s="201"/>
      <c r="D68" s="391">
        <f>+SUM(SCRI!D101)</f>
        <v>0</v>
      </c>
      <c r="E68" s="391">
        <f>+SUM(SCRI!F101)</f>
        <v>0</v>
      </c>
      <c r="F68" s="392">
        <f>+D68+E68</f>
        <v>0</v>
      </c>
      <c r="G68" s="391">
        <f>-SUM(SCRI!G101,SCRI!H101)</f>
        <v>0</v>
      </c>
      <c r="H68" s="392">
        <f>-SUM(SCRI!H101)</f>
        <v>0</v>
      </c>
      <c r="I68" s="393">
        <f>+H68-D68</f>
        <v>0</v>
      </c>
    </row>
    <row r="69" spans="2:9" x14ac:dyDescent="0.2">
      <c r="B69" s="204"/>
      <c r="C69" s="201"/>
      <c r="D69" s="391"/>
      <c r="E69" s="391"/>
      <c r="F69" s="392"/>
      <c r="G69" s="391"/>
      <c r="H69" s="392"/>
      <c r="I69" s="393"/>
    </row>
    <row r="70" spans="2:9" ht="24" x14ac:dyDescent="0.2">
      <c r="B70" s="208" t="s">
        <v>486</v>
      </c>
      <c r="C70" s="264"/>
      <c r="D70" s="382">
        <f>+D50+D59+D64+D67+D68</f>
        <v>0</v>
      </c>
      <c r="E70" s="382">
        <f>+E50+E59+E64+E67+E68</f>
        <v>0</v>
      </c>
      <c r="F70" s="383">
        <f t="shared" ref="F70" si="14">+F50+F59+F64+F67+F68</f>
        <v>0</v>
      </c>
      <c r="G70" s="382">
        <f>+G50+G59+G64+G67+G68</f>
        <v>0</v>
      </c>
      <c r="H70" s="383">
        <f>+H50+H59+H64+H67+H68</f>
        <v>0</v>
      </c>
      <c r="I70" s="384">
        <f>+H70-D70</f>
        <v>0</v>
      </c>
    </row>
    <row r="71" spans="2:9" x14ac:dyDescent="0.2">
      <c r="B71" s="204"/>
      <c r="C71" s="201"/>
      <c r="D71" s="391"/>
      <c r="E71" s="391"/>
      <c r="F71" s="392"/>
      <c r="G71" s="391"/>
      <c r="H71" s="392"/>
      <c r="I71" s="393"/>
    </row>
    <row r="72" spans="2:9" x14ac:dyDescent="0.2">
      <c r="B72" s="236" t="s">
        <v>487</v>
      </c>
      <c r="C72" s="203"/>
      <c r="D72" s="382">
        <f>+D73</f>
        <v>0</v>
      </c>
      <c r="E72" s="382">
        <f>+F73</f>
        <v>0</v>
      </c>
      <c r="F72" s="383">
        <f>+F73</f>
        <v>0</v>
      </c>
      <c r="G72" s="382">
        <f>+G73</f>
        <v>0</v>
      </c>
      <c r="H72" s="383">
        <f>+H73</f>
        <v>0</v>
      </c>
      <c r="I72" s="383">
        <f>+I73</f>
        <v>0</v>
      </c>
    </row>
    <row r="73" spans="2:9" x14ac:dyDescent="0.2">
      <c r="B73" s="204" t="s">
        <v>768</v>
      </c>
      <c r="C73" s="201"/>
      <c r="D73" s="391">
        <f>+SUM(SCRI!D104:D105)</f>
        <v>0</v>
      </c>
      <c r="E73" s="391">
        <f>+SUM(SCRI!F104:F105)</f>
        <v>0</v>
      </c>
      <c r="F73" s="392">
        <f>+D73+E73</f>
        <v>0</v>
      </c>
      <c r="G73" s="391">
        <f>-SUM(SCRI!G104:G105)</f>
        <v>0</v>
      </c>
      <c r="H73" s="392">
        <f>+SUM(SCRI!H104:H105)</f>
        <v>0</v>
      </c>
      <c r="I73" s="393">
        <f>+H73-D73</f>
        <v>0</v>
      </c>
    </row>
    <row r="74" spans="2:9" x14ac:dyDescent="0.2">
      <c r="B74" s="204"/>
      <c r="C74" s="201"/>
      <c r="D74" s="391"/>
      <c r="E74" s="391"/>
      <c r="F74" s="392"/>
      <c r="G74" s="391"/>
      <c r="H74" s="392"/>
      <c r="I74" s="393"/>
    </row>
    <row r="75" spans="2:9" x14ac:dyDescent="0.2">
      <c r="B75" s="236" t="s">
        <v>488</v>
      </c>
      <c r="C75" s="203"/>
      <c r="D75" s="382">
        <f>+D46+D70+D72</f>
        <v>130204948.28999999</v>
      </c>
      <c r="E75" s="382">
        <f>+E46+E70+E72</f>
        <v>138994957.66</v>
      </c>
      <c r="F75" s="383">
        <f>+F46+F70+F72</f>
        <v>269199905.94999999</v>
      </c>
      <c r="G75" s="382">
        <f>+G46+G70+G72</f>
        <v>166248049.06</v>
      </c>
      <c r="H75" s="383">
        <f>+H46+H70+H72</f>
        <v>138994957.66</v>
      </c>
      <c r="I75" s="384">
        <f>+H75-D75</f>
        <v>8790009.3700000048</v>
      </c>
    </row>
    <row r="76" spans="2:9" x14ac:dyDescent="0.2">
      <c r="B76" s="204"/>
      <c r="C76" s="201"/>
      <c r="D76" s="391"/>
      <c r="E76" s="391"/>
      <c r="F76" s="392"/>
      <c r="G76" s="391"/>
      <c r="H76" s="392"/>
      <c r="I76" s="393"/>
    </row>
    <row r="77" spans="2:9" x14ac:dyDescent="0.2">
      <c r="B77" s="236" t="s">
        <v>489</v>
      </c>
      <c r="C77" s="203"/>
      <c r="D77" s="391"/>
      <c r="E77" s="391"/>
      <c r="F77" s="392"/>
      <c r="G77" s="391"/>
      <c r="H77" s="392"/>
      <c r="I77" s="393"/>
    </row>
    <row r="78" spans="2:9" ht="23.25" customHeight="1" x14ac:dyDescent="0.2">
      <c r="B78" s="619" t="s">
        <v>490</v>
      </c>
      <c r="C78" s="620"/>
      <c r="D78" s="368"/>
      <c r="E78" s="368"/>
      <c r="F78" s="369"/>
      <c r="G78" s="368"/>
      <c r="H78" s="369"/>
      <c r="I78" s="370"/>
    </row>
    <row r="79" spans="2:9" ht="22.5" customHeight="1" x14ac:dyDescent="0.2">
      <c r="B79" s="619" t="s">
        <v>491</v>
      </c>
      <c r="C79" s="620"/>
      <c r="D79" s="368"/>
      <c r="E79" s="368"/>
      <c r="F79" s="369"/>
      <c r="G79" s="368"/>
      <c r="H79" s="369"/>
      <c r="I79" s="370"/>
    </row>
    <row r="80" spans="2:9" ht="24" customHeight="1" x14ac:dyDescent="0.2">
      <c r="B80" s="634" t="s">
        <v>492</v>
      </c>
      <c r="C80" s="635"/>
      <c r="D80" s="382">
        <f t="shared" ref="D80:I80" si="15">+D78+D79</f>
        <v>0</v>
      </c>
      <c r="E80" s="382">
        <f t="shared" si="15"/>
        <v>0</v>
      </c>
      <c r="F80" s="382">
        <f t="shared" si="15"/>
        <v>0</v>
      </c>
      <c r="G80" s="382">
        <f t="shared" si="15"/>
        <v>0</v>
      </c>
      <c r="H80" s="383">
        <f t="shared" si="15"/>
        <v>0</v>
      </c>
      <c r="I80" s="384">
        <f t="shared" si="15"/>
        <v>0</v>
      </c>
    </row>
    <row r="81" spans="2:9" x14ac:dyDescent="0.2">
      <c r="B81" s="237"/>
      <c r="C81" s="239"/>
      <c r="D81" s="385"/>
      <c r="E81" s="385"/>
      <c r="F81" s="386"/>
      <c r="G81" s="387"/>
      <c r="H81" s="386"/>
      <c r="I81" s="387"/>
    </row>
    <row r="82" spans="2:9" x14ac:dyDescent="0.2">
      <c r="B82" s="613" t="s">
        <v>149</v>
      </c>
      <c r="C82" s="613"/>
      <c r="D82" s="613"/>
      <c r="E82" s="613"/>
      <c r="F82" s="613"/>
      <c r="G82" s="613"/>
      <c r="H82" s="613"/>
      <c r="I82" s="324"/>
    </row>
    <row r="83" spans="2:9" x14ac:dyDescent="0.2">
      <c r="B83" s="613"/>
      <c r="C83" s="613"/>
      <c r="D83" s="613"/>
      <c r="E83" s="613"/>
      <c r="F83" s="613"/>
      <c r="G83" s="613"/>
      <c r="H83" s="613"/>
      <c r="I83" s="324"/>
    </row>
    <row r="84" spans="2:9" x14ac:dyDescent="0.2">
      <c r="B84" s="200"/>
      <c r="C84" s="200"/>
      <c r="D84" s="324"/>
      <c r="E84" s="324"/>
      <c r="F84" s="324"/>
      <c r="G84" s="324"/>
      <c r="H84" s="324"/>
      <c r="I84" s="324"/>
    </row>
    <row r="85" spans="2:9" x14ac:dyDescent="0.2">
      <c r="B85" s="200"/>
      <c r="C85" s="200"/>
      <c r="D85" s="324"/>
      <c r="E85" s="324"/>
      <c r="F85" s="324"/>
      <c r="G85" s="324"/>
      <c r="H85" s="324"/>
      <c r="I85" s="324"/>
    </row>
    <row r="86" spans="2:9" x14ac:dyDescent="0.2">
      <c r="B86" s="200"/>
      <c r="C86" s="200"/>
      <c r="D86" s="324"/>
      <c r="E86" s="324"/>
      <c r="F86" s="324"/>
      <c r="G86" s="324"/>
      <c r="H86" s="324"/>
      <c r="I86" s="324"/>
    </row>
    <row r="87" spans="2:9" x14ac:dyDescent="0.2">
      <c r="B87" s="200"/>
      <c r="C87" s="200"/>
      <c r="D87" s="324"/>
      <c r="E87" s="324"/>
      <c r="F87" s="324"/>
      <c r="G87" s="324"/>
      <c r="H87" s="324"/>
      <c r="I87" s="324"/>
    </row>
    <row r="88" spans="2:9" x14ac:dyDescent="0.2">
      <c r="B88" s="305"/>
      <c r="C88" s="305"/>
      <c r="D88" s="325"/>
      <c r="E88" s="325"/>
      <c r="F88" s="325"/>
      <c r="G88" s="325"/>
      <c r="H88" s="325"/>
      <c r="I88" s="325"/>
    </row>
    <row r="89" spans="2:9" x14ac:dyDescent="0.2">
      <c r="B89" s="305"/>
      <c r="C89" s="306"/>
      <c r="D89" s="326"/>
      <c r="E89" s="326"/>
      <c r="F89" s="325"/>
      <c r="G89" s="326"/>
      <c r="H89" s="326"/>
      <c r="I89" s="326"/>
    </row>
    <row r="90" spans="2:9" x14ac:dyDescent="0.2">
      <c r="B90" s="305"/>
      <c r="C90" s="636" t="str">
        <f>+ENTE!D10</f>
        <v xml:space="preserve">M. EN A.  GONZALO FERREIRA MARTÍNEZ </v>
      </c>
      <c r="D90" s="636"/>
      <c r="E90" s="636"/>
      <c r="F90" s="325"/>
      <c r="G90" s="633" t="str">
        <f>+ENTE!D14</f>
        <v>C.P.  ELDA GRACIELA FLORES HERNÁNDEZ</v>
      </c>
      <c r="H90" s="633"/>
      <c r="I90" s="633"/>
    </row>
    <row r="91" spans="2:9" x14ac:dyDescent="0.2">
      <c r="B91" s="305"/>
      <c r="C91" s="621" t="str">
        <f>+ENTE!D12</f>
        <v>DIRECTOR DE ADMINISTRACIÓN  Y FINANZAS</v>
      </c>
      <c r="D91" s="621"/>
      <c r="E91" s="621"/>
      <c r="F91" s="325"/>
      <c r="G91" s="632" t="str">
        <f>+ENTE!D16</f>
        <v>JEFA DEL DEPARTAMENTO DE ADMINISTRACIÓN FINANCIERA</v>
      </c>
      <c r="H91" s="632"/>
      <c r="I91" s="632"/>
    </row>
    <row r="92" spans="2:9" x14ac:dyDescent="0.2">
      <c r="B92" s="305"/>
      <c r="C92" s="305"/>
      <c r="D92" s="325"/>
      <c r="E92" s="325"/>
      <c r="F92" s="325"/>
      <c r="G92" s="325"/>
      <c r="H92" s="325"/>
      <c r="I92" s="325"/>
    </row>
  </sheetData>
  <sheetProtection algorithmName="SHA-512" hashValue="QzUKMbuZyeBXvhPlBVvW1I/acebb8lIo/s789lhZDHGwuKwzA8+n5ke7tn9Z7zk28psAtnP6Q0RXIpns/nGkZg==" saltValue="rUBr1YpexSHz0A90QHgDEQ==" spinCount="100000" sheet="1" objects="1" scenarios="1" selectLockedCells="1"/>
  <mergeCells count="30"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75"/>
  <sheetViews>
    <sheetView showGridLines="0" showRuler="0" showOutlineSymbols="0" view="pageBreakPreview" topLeftCell="D55" zoomScaleNormal="100" zoomScaleSheetLayoutView="100" zoomScalePageLayoutView="130" workbookViewId="0">
      <selection activeCell="J13" sqref="J13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2.42578125" style="3" bestFit="1" customWidth="1"/>
    <col min="10" max="10" width="12" style="3" bestFit="1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637" t="s">
        <v>369</v>
      </c>
      <c r="D2" s="637"/>
      <c r="E2" s="637"/>
      <c r="F2" s="637"/>
      <c r="G2" s="637"/>
      <c r="H2" s="637"/>
      <c r="I2" s="281"/>
      <c r="J2" s="281"/>
      <c r="K2" s="281"/>
    </row>
    <row r="3" spans="2:11" s="2" customFormat="1" x14ac:dyDescent="0.2">
      <c r="C3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3" s="603"/>
      <c r="E3" s="603"/>
      <c r="F3" s="603"/>
      <c r="G3" s="603"/>
      <c r="H3" s="603"/>
    </row>
    <row r="4" spans="2:11" s="2" customFormat="1" x14ac:dyDescent="0.2">
      <c r="C4" s="603" t="s">
        <v>92</v>
      </c>
      <c r="D4" s="603"/>
      <c r="E4" s="603"/>
      <c r="F4" s="603"/>
      <c r="G4" s="603"/>
      <c r="H4" s="603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04" t="str">
        <f>ENTE!D8</f>
        <v xml:space="preserve">UNIVERSIDAD TECNOLÓGICA DE SAN JUAN DEL RÍO </v>
      </c>
      <c r="D6" s="604"/>
      <c r="E6" s="604"/>
      <c r="F6" s="604"/>
      <c r="G6" s="604"/>
      <c r="H6" s="604"/>
      <c r="I6" s="604"/>
      <c r="J6" s="604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01" t="s">
        <v>369</v>
      </c>
      <c r="C8" s="601"/>
      <c r="D8" s="601">
        <v>2017</v>
      </c>
      <c r="E8" s="601"/>
      <c r="F8" s="601"/>
      <c r="G8" s="601"/>
      <c r="H8" s="601"/>
      <c r="I8" s="601"/>
      <c r="J8" s="601"/>
    </row>
    <row r="9" spans="2:11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1" x14ac:dyDescent="0.2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72" t="s">
        <v>767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73" t="s">
        <v>763</v>
      </c>
      <c r="D13" s="188">
        <v>130204948.29000001</v>
      </c>
      <c r="E13" s="188">
        <v>8790009.3699999992</v>
      </c>
      <c r="F13" s="188">
        <v>138994957.66</v>
      </c>
      <c r="G13" s="188">
        <v>27253091.399999999</v>
      </c>
      <c r="H13" s="188">
        <v>27253091.399999999</v>
      </c>
      <c r="I13" s="188">
        <v>27253091.399999999</v>
      </c>
      <c r="J13" s="188">
        <v>27253091.399999999</v>
      </c>
    </row>
    <row r="14" spans="2:11" x14ac:dyDescent="0.2">
      <c r="B14" s="193"/>
      <c r="C14" s="373" t="s">
        <v>764</v>
      </c>
      <c r="D14" s="188"/>
      <c r="E14" s="188"/>
      <c r="F14" s="188"/>
      <c r="G14" s="188"/>
      <c r="H14" s="188"/>
      <c r="I14" s="188"/>
      <c r="J14" s="190"/>
    </row>
    <row r="15" spans="2:11" x14ac:dyDescent="0.2">
      <c r="B15" s="193"/>
      <c r="C15" s="373" t="s">
        <v>765</v>
      </c>
      <c r="D15" s="188"/>
      <c r="E15" s="188"/>
      <c r="F15" s="188"/>
      <c r="G15" s="188"/>
      <c r="H15" s="188"/>
      <c r="I15" s="188"/>
      <c r="J15" s="190"/>
    </row>
    <row r="16" spans="2:11" x14ac:dyDescent="0.2">
      <c r="B16" s="193"/>
      <c r="C16" s="373"/>
      <c r="D16" s="188"/>
      <c r="E16" s="188"/>
      <c r="F16" s="188"/>
      <c r="G16" s="188"/>
      <c r="H16" s="188"/>
      <c r="I16" s="188"/>
      <c r="J16" s="190"/>
    </row>
    <row r="17" spans="2:10" x14ac:dyDescent="0.2">
      <c r="B17" s="193"/>
      <c r="C17" s="372" t="s">
        <v>766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/>
      <c r="C18" s="373" t="s">
        <v>763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/>
      <c r="C19" s="373" t="s">
        <v>764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/>
      <c r="C20" s="373" t="s">
        <v>765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/>
      <c r="C21" s="371"/>
      <c r="D21" s="188"/>
      <c r="E21" s="188"/>
      <c r="F21" s="188"/>
      <c r="G21" s="188"/>
      <c r="H21" s="188"/>
      <c r="I21" s="188"/>
      <c r="J21" s="190"/>
    </row>
    <row r="22" spans="2:10" x14ac:dyDescent="0.2">
      <c r="B22" s="193"/>
      <c r="C22" s="371"/>
      <c r="D22" s="188"/>
      <c r="E22" s="188"/>
      <c r="F22" s="188"/>
      <c r="G22" s="188"/>
      <c r="H22" s="188"/>
      <c r="I22" s="188"/>
      <c r="J22" s="190"/>
    </row>
    <row r="23" spans="2:10" x14ac:dyDescent="0.2">
      <c r="B23" s="193"/>
      <c r="C23" s="371"/>
      <c r="D23" s="188"/>
      <c r="E23" s="188"/>
      <c r="F23" s="188"/>
      <c r="G23" s="188"/>
      <c r="H23" s="188"/>
      <c r="I23" s="188"/>
      <c r="J23" s="190"/>
    </row>
    <row r="24" spans="2:10" x14ac:dyDescent="0.2">
      <c r="B24" s="193"/>
      <c r="C24" s="371"/>
      <c r="D24" s="188"/>
      <c r="E24" s="188"/>
      <c r="F24" s="188"/>
      <c r="G24" s="188"/>
      <c r="H24" s="188"/>
      <c r="I24" s="188"/>
      <c r="J24" s="190"/>
    </row>
    <row r="25" spans="2:10" x14ac:dyDescent="0.2">
      <c r="B25" s="193"/>
      <c r="C25" s="371"/>
      <c r="D25" s="188"/>
      <c r="E25" s="188"/>
      <c r="F25" s="188"/>
      <c r="G25" s="188"/>
      <c r="H25" s="188"/>
      <c r="I25" s="188"/>
      <c r="J25" s="190"/>
    </row>
    <row r="26" spans="2:10" x14ac:dyDescent="0.2">
      <c r="B26" s="193"/>
      <c r="C26" s="371"/>
      <c r="D26" s="188"/>
      <c r="E26" s="188"/>
      <c r="F26" s="188"/>
      <c r="G26" s="188"/>
      <c r="H26" s="188"/>
      <c r="I26" s="188"/>
      <c r="J26" s="190"/>
    </row>
    <row r="27" spans="2:10" x14ac:dyDescent="0.2">
      <c r="B27" s="193"/>
      <c r="C27" s="371"/>
      <c r="D27" s="188"/>
      <c r="E27" s="188"/>
      <c r="F27" s="188"/>
      <c r="G27" s="188"/>
      <c r="H27" s="188"/>
      <c r="I27" s="188"/>
      <c r="J27" s="190"/>
    </row>
    <row r="28" spans="2:10" x14ac:dyDescent="0.2">
      <c r="B28" s="193"/>
      <c r="C28" s="371"/>
      <c r="D28" s="188"/>
      <c r="E28" s="188"/>
      <c r="F28" s="188"/>
      <c r="G28" s="188"/>
      <c r="H28" s="188"/>
      <c r="I28" s="188"/>
      <c r="J28" s="190"/>
    </row>
    <row r="29" spans="2:10" x14ac:dyDescent="0.2">
      <c r="B29" s="193"/>
      <c r="C29" s="371"/>
      <c r="D29" s="188"/>
      <c r="E29" s="188"/>
      <c r="F29" s="188"/>
      <c r="G29" s="188"/>
      <c r="H29" s="188"/>
      <c r="I29" s="188"/>
      <c r="J29" s="190"/>
    </row>
    <row r="30" spans="2:10" x14ac:dyDescent="0.2">
      <c r="B30" s="193"/>
      <c r="C30" s="371"/>
      <c r="D30" s="188"/>
      <c r="E30" s="188"/>
      <c r="F30" s="188"/>
      <c r="G30" s="188"/>
      <c r="H30" s="188"/>
      <c r="I30" s="188"/>
      <c r="J30" s="190"/>
    </row>
    <row r="31" spans="2:10" x14ac:dyDescent="0.2">
      <c r="B31" s="193"/>
      <c r="C31" s="371"/>
      <c r="D31" s="188"/>
      <c r="E31" s="188"/>
      <c r="F31" s="188"/>
      <c r="G31" s="188"/>
      <c r="H31" s="188"/>
      <c r="I31" s="188"/>
      <c r="J31" s="190"/>
    </row>
    <row r="32" spans="2:10" x14ac:dyDescent="0.2">
      <c r="B32" s="193"/>
      <c r="C32" s="371"/>
      <c r="D32" s="188"/>
      <c r="E32" s="188"/>
      <c r="F32" s="188"/>
      <c r="G32" s="188"/>
      <c r="H32" s="188"/>
      <c r="I32" s="188"/>
      <c r="J32" s="190"/>
    </row>
    <row r="33" spans="2:10" x14ac:dyDescent="0.2">
      <c r="B33" s="193"/>
      <c r="C33" s="371"/>
      <c r="D33" s="188"/>
      <c r="E33" s="188"/>
      <c r="F33" s="188"/>
      <c r="G33" s="188"/>
      <c r="H33" s="188"/>
      <c r="I33" s="188"/>
      <c r="J33" s="190"/>
    </row>
    <row r="34" spans="2:10" x14ac:dyDescent="0.2">
      <c r="B34" s="193"/>
      <c r="C34" s="371"/>
      <c r="D34" s="188"/>
      <c r="E34" s="188"/>
      <c r="F34" s="188"/>
      <c r="G34" s="188"/>
      <c r="H34" s="188"/>
      <c r="I34" s="188"/>
      <c r="J34" s="190"/>
    </row>
    <row r="35" spans="2:10" x14ac:dyDescent="0.2">
      <c r="B35" s="193"/>
      <c r="C35" s="371"/>
      <c r="D35" s="188"/>
      <c r="E35" s="188"/>
      <c r="F35" s="188"/>
      <c r="G35" s="188"/>
      <c r="H35" s="188"/>
      <c r="I35" s="188"/>
      <c r="J35" s="190"/>
    </row>
    <row r="36" spans="2:10" x14ac:dyDescent="0.2">
      <c r="B36" s="193"/>
      <c r="C36" s="371"/>
      <c r="D36" s="188"/>
      <c r="E36" s="188"/>
      <c r="F36" s="188"/>
      <c r="G36" s="188"/>
      <c r="H36" s="188"/>
      <c r="I36" s="188"/>
      <c r="J36" s="190"/>
    </row>
    <row r="37" spans="2:10" x14ac:dyDescent="0.2">
      <c r="B37" s="193"/>
      <c r="C37" s="371"/>
      <c r="D37" s="188"/>
      <c r="E37" s="188"/>
      <c r="F37" s="188"/>
      <c r="G37" s="188"/>
      <c r="H37" s="188"/>
      <c r="I37" s="188"/>
      <c r="J37" s="190"/>
    </row>
    <row r="38" spans="2:10" x14ac:dyDescent="0.2">
      <c r="B38" s="193"/>
      <c r="C38" s="371"/>
      <c r="D38" s="188"/>
      <c r="E38" s="188"/>
      <c r="F38" s="188"/>
      <c r="G38" s="188"/>
      <c r="H38" s="188"/>
      <c r="I38" s="188"/>
      <c r="J38" s="190"/>
    </row>
    <row r="39" spans="2:10" x14ac:dyDescent="0.2">
      <c r="B39" s="193"/>
      <c r="C39" s="371"/>
      <c r="D39" s="188"/>
      <c r="E39" s="188"/>
      <c r="F39" s="188"/>
      <c r="G39" s="188"/>
      <c r="H39" s="188"/>
      <c r="I39" s="188"/>
      <c r="J39" s="190"/>
    </row>
    <row r="40" spans="2:10" x14ac:dyDescent="0.2">
      <c r="B40" s="193"/>
      <c r="C40" s="371"/>
      <c r="D40" s="188"/>
      <c r="E40" s="188"/>
      <c r="F40" s="188"/>
      <c r="G40" s="188"/>
      <c r="H40" s="188"/>
      <c r="I40" s="188"/>
      <c r="J40" s="190"/>
    </row>
    <row r="41" spans="2:10" x14ac:dyDescent="0.2">
      <c r="B41" s="193"/>
      <c r="C41" s="371"/>
      <c r="D41" s="188"/>
      <c r="E41" s="188"/>
      <c r="F41" s="188"/>
      <c r="G41" s="188"/>
      <c r="H41" s="188"/>
      <c r="I41" s="188"/>
      <c r="J41" s="190"/>
    </row>
    <row r="42" spans="2:10" x14ac:dyDescent="0.2">
      <c r="B42" s="193"/>
      <c r="C42" s="371"/>
      <c r="D42" s="188"/>
      <c r="E42" s="188"/>
      <c r="F42" s="188"/>
      <c r="G42" s="188"/>
      <c r="H42" s="188"/>
      <c r="I42" s="188"/>
      <c r="J42" s="190"/>
    </row>
    <row r="43" spans="2:10" x14ac:dyDescent="0.2">
      <c r="B43" s="193"/>
      <c r="C43" s="371"/>
      <c r="D43" s="188"/>
      <c r="E43" s="188"/>
      <c r="F43" s="188"/>
      <c r="G43" s="188"/>
      <c r="H43" s="188"/>
      <c r="I43" s="188"/>
      <c r="J43" s="190"/>
    </row>
    <row r="44" spans="2:10" x14ac:dyDescent="0.2">
      <c r="B44" s="193"/>
      <c r="C44" s="371"/>
      <c r="D44" s="188"/>
      <c r="E44" s="188"/>
      <c r="F44" s="188"/>
      <c r="G44" s="188"/>
      <c r="H44" s="188"/>
      <c r="I44" s="188"/>
      <c r="J44" s="190"/>
    </row>
    <row r="45" spans="2:10" x14ac:dyDescent="0.2">
      <c r="B45" s="193"/>
      <c r="C45" s="371"/>
      <c r="D45" s="188"/>
      <c r="E45" s="188"/>
      <c r="F45" s="188"/>
      <c r="G45" s="188"/>
      <c r="H45" s="188"/>
      <c r="I45" s="188"/>
      <c r="J45" s="190"/>
    </row>
    <row r="46" spans="2:10" x14ac:dyDescent="0.2">
      <c r="B46" s="193"/>
      <c r="C46" s="371"/>
      <c r="D46" s="188"/>
      <c r="E46" s="188"/>
      <c r="F46" s="188"/>
      <c r="G46" s="188"/>
      <c r="H46" s="188"/>
      <c r="I46" s="188"/>
      <c r="J46" s="190"/>
    </row>
    <row r="47" spans="2:10" x14ac:dyDescent="0.2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 x14ac:dyDescent="0.2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 x14ac:dyDescent="0.2">
      <c r="B74" s="195"/>
      <c r="C74" s="374"/>
      <c r="D74" s="191"/>
      <c r="E74" s="191"/>
      <c r="F74" s="191"/>
      <c r="G74" s="191"/>
      <c r="H74" s="191"/>
      <c r="I74" s="191"/>
      <c r="J74" s="192"/>
    </row>
    <row r="75" spans="2:10" x14ac:dyDescent="0.2">
      <c r="D75" s="10">
        <f t="shared" ref="D75:J75" si="0">SUM(D10:D74)</f>
        <v>130204948.29000001</v>
      </c>
      <c r="E75" s="10">
        <f t="shared" si="0"/>
        <v>8790009.3699999992</v>
      </c>
      <c r="F75" s="10">
        <f t="shared" si="0"/>
        <v>138994957.66</v>
      </c>
      <c r="G75" s="10">
        <f t="shared" si="0"/>
        <v>27253091.399999999</v>
      </c>
      <c r="H75" s="10">
        <f t="shared" si="0"/>
        <v>27253091.399999999</v>
      </c>
      <c r="I75" s="10">
        <f t="shared" si="0"/>
        <v>27253091.399999999</v>
      </c>
      <c r="J75" s="10">
        <f t="shared" si="0"/>
        <v>27253091.399999999</v>
      </c>
    </row>
  </sheetData>
  <sheetProtection algorithmName="SHA-512" hashValue="qCzvcSsZUpySlFpk3viRTbHo+fQ7kDGBv/WH039bsZxoD0qxR64L1w7DAZNTUHcU3ZpA4YGJPBphab3TAkvhmw==" saltValue="Q2h7lmvTD3x8vMRipT8Jvw==" spinCount="100000" sheet="1" objects="1" scenarios="1"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8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8"/>
  <sheetViews>
    <sheetView showGridLines="0" view="pageBreakPreview" zoomScaleNormal="100" zoomScaleSheetLayoutView="100" workbookViewId="0">
      <selection activeCell="D14" sqref="D14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637"/>
      <c r="C2" s="637"/>
      <c r="D2" s="637"/>
      <c r="E2" s="637"/>
      <c r="F2" s="637"/>
      <c r="G2" s="637"/>
      <c r="H2" s="637"/>
      <c r="I2" s="637"/>
      <c r="J2" s="281"/>
    </row>
    <row r="3" spans="1:10" x14ac:dyDescent="0.2">
      <c r="B3" s="617" t="s">
        <v>242</v>
      </c>
      <c r="C3" s="617"/>
      <c r="D3" s="617"/>
      <c r="E3" s="617"/>
      <c r="F3" s="617"/>
      <c r="G3" s="617"/>
      <c r="H3" s="617"/>
      <c r="I3" s="617"/>
    </row>
    <row r="4" spans="1:10" x14ac:dyDescent="0.2">
      <c r="B4" s="61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7"/>
      <c r="D4" s="617"/>
      <c r="E4" s="617"/>
      <c r="F4" s="617"/>
      <c r="G4" s="617"/>
      <c r="H4" s="617"/>
      <c r="I4" s="617"/>
    </row>
    <row r="5" spans="1:10" x14ac:dyDescent="0.2">
      <c r="B5" s="617" t="s">
        <v>92</v>
      </c>
      <c r="C5" s="617"/>
      <c r="D5" s="617"/>
      <c r="E5" s="617"/>
      <c r="F5" s="617"/>
      <c r="G5" s="617"/>
      <c r="H5" s="617"/>
      <c r="I5" s="617"/>
    </row>
    <row r="6" spans="1:10" x14ac:dyDescent="0.2">
      <c r="B6" s="617"/>
      <c r="C6" s="617"/>
      <c r="D6" s="617"/>
      <c r="E6" s="617"/>
      <c r="F6" s="617"/>
      <c r="G6" s="617"/>
      <c r="H6" s="617"/>
      <c r="I6" s="617"/>
    </row>
    <row r="7" spans="1:10" ht="16.5" customHeight="1" x14ac:dyDescent="0.2">
      <c r="B7" s="178" t="s">
        <v>4</v>
      </c>
      <c r="C7" s="604" t="str">
        <f>ENTE!D8</f>
        <v xml:space="preserve">UNIVERSIDAD TECNOLÓGICA DE SAN JUAN DEL RÍO </v>
      </c>
      <c r="D7" s="604"/>
      <c r="E7" s="604"/>
      <c r="F7" s="604"/>
      <c r="G7" s="604"/>
      <c r="H7" s="604"/>
      <c r="I7" s="604"/>
    </row>
    <row r="8" spans="1:10" s="21" customFormat="1" x14ac:dyDescent="0.2"/>
    <row r="9" spans="1:10" x14ac:dyDescent="0.2">
      <c r="B9" s="640" t="s">
        <v>93</v>
      </c>
      <c r="C9" s="640"/>
      <c r="D9" s="641" t="s">
        <v>494</v>
      </c>
      <c r="E9" s="641"/>
      <c r="F9" s="641"/>
      <c r="G9" s="641"/>
      <c r="H9" s="641"/>
      <c r="I9" s="641" t="s">
        <v>645</v>
      </c>
    </row>
    <row r="10" spans="1:10" ht="24" x14ac:dyDescent="0.2">
      <c r="B10" s="640"/>
      <c r="C10" s="640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641"/>
    </row>
    <row r="11" spans="1:10" x14ac:dyDescent="0.2">
      <c r="B11" s="640"/>
      <c r="C11" s="640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52"/>
      <c r="D13" s="553" t="str">
        <f>IF(C13="","",-SCA!D10)</f>
        <v/>
      </c>
      <c r="E13" s="553" t="str">
        <f>IF(C13="","",-SCA!F10)</f>
        <v/>
      </c>
      <c r="F13" s="553" t="str">
        <f>IF(C13="","",D13+E13)</f>
        <v/>
      </c>
      <c r="G13" s="553" t="str">
        <f>IF(C13="","",SCA!H10)</f>
        <v/>
      </c>
      <c r="H13" s="553" t="str">
        <f>IF(C13="","",SCA!J10)</f>
        <v/>
      </c>
      <c r="I13" s="553" t="str">
        <f>IF(C13="","",F13-G13)</f>
        <v/>
      </c>
    </row>
    <row r="14" spans="1:10" x14ac:dyDescent="0.2">
      <c r="B14" s="128"/>
      <c r="C14" s="554" t="s">
        <v>763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</row>
    <row r="15" spans="1:10" x14ac:dyDescent="0.2">
      <c r="B15" s="128"/>
      <c r="C15" s="554" t="s">
        <v>764</v>
      </c>
      <c r="D15" s="555">
        <v>0</v>
      </c>
      <c r="E15" s="555">
        <v>0</v>
      </c>
      <c r="F15" s="555">
        <v>0</v>
      </c>
      <c r="G15" s="555">
        <v>0</v>
      </c>
      <c r="H15" s="555">
        <v>0</v>
      </c>
      <c r="I15" s="555">
        <v>0</v>
      </c>
    </row>
    <row r="16" spans="1:10" x14ac:dyDescent="0.2">
      <c r="B16" s="128"/>
      <c r="C16" s="554" t="s">
        <v>765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</row>
    <row r="17" spans="1:9" s="1" customFormat="1" x14ac:dyDescent="0.2">
      <c r="A17" s="124"/>
      <c r="B17" s="140"/>
      <c r="C17" s="554" t="str">
        <f>IF(SCA!C16="","",SCA!C16)</f>
        <v/>
      </c>
      <c r="D17" s="553" t="str">
        <f>IF(C17="","",-SCA!D17)</f>
        <v/>
      </c>
      <c r="E17" s="553" t="str">
        <f>IF(C17="","",-SCA!F17)</f>
        <v/>
      </c>
      <c r="F17" s="553" t="str">
        <f t="shared" ref="F17:F75" si="0">IF(C17="","",D17+E17)</f>
        <v/>
      </c>
      <c r="G17" s="553" t="str">
        <f>IF(C17="","",SCA!H17)</f>
        <v/>
      </c>
      <c r="H17" s="553" t="str">
        <f>IF(C17="","",SCA!J17)</f>
        <v/>
      </c>
      <c r="I17" s="553" t="str">
        <f t="shared" ref="I17:I75" si="1">IF(C17="","",F17-G17)</f>
        <v/>
      </c>
    </row>
    <row r="18" spans="1:9" x14ac:dyDescent="0.2">
      <c r="B18" s="128"/>
      <c r="C18" s="554"/>
      <c r="D18" s="555"/>
      <c r="E18" s="555"/>
      <c r="F18" s="555"/>
      <c r="G18" s="555"/>
      <c r="H18" s="555"/>
      <c r="I18" s="555"/>
    </row>
    <row r="19" spans="1:9" x14ac:dyDescent="0.2">
      <c r="B19" s="128"/>
      <c r="C19" s="554"/>
      <c r="D19" s="555"/>
      <c r="E19" s="555"/>
      <c r="F19" s="555"/>
      <c r="G19" s="555"/>
      <c r="H19" s="555"/>
      <c r="I19" s="555"/>
    </row>
    <row r="20" spans="1:9" x14ac:dyDescent="0.2">
      <c r="B20" s="128"/>
      <c r="C20" s="554"/>
      <c r="D20" s="555"/>
      <c r="E20" s="555"/>
      <c r="F20" s="555"/>
      <c r="G20" s="555"/>
      <c r="H20" s="555"/>
      <c r="I20" s="555"/>
    </row>
    <row r="21" spans="1:9" x14ac:dyDescent="0.2">
      <c r="B21" s="128"/>
      <c r="C21" s="554" t="str">
        <f>IF(SCA!C21="","",SCA!C21)</f>
        <v/>
      </c>
      <c r="D21" s="555" t="str">
        <f>IF(C21="","",-SCA!D21)</f>
        <v/>
      </c>
      <c r="E21" s="555" t="str">
        <f>IF(C21="","",-SCA!F21)</f>
        <v/>
      </c>
      <c r="F21" s="555" t="str">
        <f t="shared" si="0"/>
        <v/>
      </c>
      <c r="G21" s="555" t="str">
        <f>IF(C21="","",SCA!H21)</f>
        <v/>
      </c>
      <c r="H21" s="555" t="str">
        <f>IF(C21="","",SCA!J21)</f>
        <v/>
      </c>
      <c r="I21" s="555" t="str">
        <f t="shared" si="1"/>
        <v/>
      </c>
    </row>
    <row r="22" spans="1:9" x14ac:dyDescent="0.2">
      <c r="B22" s="128"/>
      <c r="C22" s="129" t="str">
        <f>IF(SCA!C22="","",SCA!C22)</f>
        <v/>
      </c>
      <c r="D22" s="105" t="str">
        <f>IF(C22="","",-SCA!D22)</f>
        <v/>
      </c>
      <c r="E22" s="105" t="str">
        <f>IF(C22="","",-SCA!F22)</f>
        <v/>
      </c>
      <c r="F22" s="105" t="str">
        <f t="shared" si="0"/>
        <v/>
      </c>
      <c r="G22" s="105" t="str">
        <f>IF(C22="","",SCA!H22)</f>
        <v/>
      </c>
      <c r="H22" s="105" t="str">
        <f>IF(C22="","",SCA!J22)</f>
        <v/>
      </c>
      <c r="I22" s="105" t="str">
        <f t="shared" si="1"/>
        <v/>
      </c>
    </row>
    <row r="23" spans="1:9" x14ac:dyDescent="0.2">
      <c r="B23" s="128"/>
      <c r="C23" s="129" t="str">
        <f>IF(SCA!C23="","",SCA!C23)</f>
        <v/>
      </c>
      <c r="D23" s="105" t="str">
        <f>IF(C23="","",-SCA!D23)</f>
        <v/>
      </c>
      <c r="E23" s="105" t="str">
        <f>IF(C23="","",-SCA!F23)</f>
        <v/>
      </c>
      <c r="F23" s="105" t="str">
        <f t="shared" si="0"/>
        <v/>
      </c>
      <c r="G23" s="105" t="str">
        <f>IF(C23="","",SCA!H23)</f>
        <v/>
      </c>
      <c r="H23" s="105" t="str">
        <f>IF(C23="","",SCA!J23)</f>
        <v/>
      </c>
      <c r="I23" s="105" t="str">
        <f t="shared" si="1"/>
        <v/>
      </c>
    </row>
    <row r="24" spans="1:9" x14ac:dyDescent="0.2">
      <c r="B24" s="128"/>
      <c r="C24" s="129" t="str">
        <f>IF(SCA!C24="","",SCA!C24)</f>
        <v/>
      </c>
      <c r="D24" s="105" t="str">
        <f>IF(C24="","",-SCA!D24)</f>
        <v/>
      </c>
      <c r="E24" s="105" t="str">
        <f>IF(C24="","",-SCA!F24)</f>
        <v/>
      </c>
      <c r="F24" s="105" t="str">
        <f t="shared" si="0"/>
        <v/>
      </c>
      <c r="G24" s="105" t="str">
        <f>IF(C24="","",SCA!H24)</f>
        <v/>
      </c>
      <c r="H24" s="105" t="str">
        <f>IF(C24="","",SCA!J24)</f>
        <v/>
      </c>
      <c r="I24" s="105" t="str">
        <f t="shared" si="1"/>
        <v/>
      </c>
    </row>
    <row r="25" spans="1:9" x14ac:dyDescent="0.2">
      <c r="B25" s="128"/>
      <c r="C25" s="129" t="str">
        <f>IF(SCA!C25="","",SCA!C25)</f>
        <v/>
      </c>
      <c r="D25" s="105" t="str">
        <f>IF(C25="","",-SCA!D25)</f>
        <v/>
      </c>
      <c r="E25" s="105" t="str">
        <f>IF(C25="","",-SCA!F25)</f>
        <v/>
      </c>
      <c r="F25" s="105" t="str">
        <f t="shared" si="0"/>
        <v/>
      </c>
      <c r="G25" s="105" t="str">
        <f>IF(C25="","",SCA!H25)</f>
        <v/>
      </c>
      <c r="H25" s="105" t="str">
        <f>IF(C25="","",SCA!J25)</f>
        <v/>
      </c>
      <c r="I25" s="105" t="str">
        <f t="shared" si="1"/>
        <v/>
      </c>
    </row>
    <row r="26" spans="1:9" x14ac:dyDescent="0.2">
      <c r="B26" s="128"/>
      <c r="C26" s="129" t="str">
        <f>IF(SCA!C26="","",SCA!C26)</f>
        <v/>
      </c>
      <c r="D26" s="105" t="str">
        <f>IF(C26="","",-SCA!D26)</f>
        <v/>
      </c>
      <c r="E26" s="105" t="str">
        <f>IF(C26="","",-SCA!F26)</f>
        <v/>
      </c>
      <c r="F26" s="105" t="str">
        <f t="shared" si="0"/>
        <v/>
      </c>
      <c r="G26" s="105" t="str">
        <f>IF(C26="","",SCA!H26)</f>
        <v/>
      </c>
      <c r="H26" s="105" t="str">
        <f>IF(C26="","",SCA!J26)</f>
        <v/>
      </c>
      <c r="I26" s="105" t="str">
        <f t="shared" si="1"/>
        <v/>
      </c>
    </row>
    <row r="27" spans="1:9" x14ac:dyDescent="0.2">
      <c r="B27" s="128"/>
      <c r="C27" s="129" t="str">
        <f>IF(SCA!C27="","",SCA!C27)</f>
        <v/>
      </c>
      <c r="D27" s="105" t="str">
        <f>IF(C27="","",-SCA!D27)</f>
        <v/>
      </c>
      <c r="E27" s="105" t="str">
        <f>IF(C27="","",-SCA!F27)</f>
        <v/>
      </c>
      <c r="F27" s="105" t="str">
        <f t="shared" si="0"/>
        <v/>
      </c>
      <c r="G27" s="105" t="str">
        <f>IF(C27="","",SCA!H27)</f>
        <v/>
      </c>
      <c r="H27" s="105" t="str">
        <f>IF(C27="","",SCA!J27)</f>
        <v/>
      </c>
      <c r="I27" s="105" t="str">
        <f t="shared" si="1"/>
        <v/>
      </c>
    </row>
    <row r="28" spans="1:9" x14ac:dyDescent="0.2">
      <c r="B28" s="128"/>
      <c r="C28" s="129" t="str">
        <f>IF(SCA!C28="","",SCA!C28)</f>
        <v/>
      </c>
      <c r="D28" s="105" t="str">
        <f>IF(C28="","",-SCA!D28)</f>
        <v/>
      </c>
      <c r="E28" s="105" t="str">
        <f>IF(C28="","",-SCA!F28)</f>
        <v/>
      </c>
      <c r="F28" s="105" t="str">
        <f t="shared" si="0"/>
        <v/>
      </c>
      <c r="G28" s="105" t="str">
        <f>IF(C28="","",SCA!H28)</f>
        <v/>
      </c>
      <c r="H28" s="105" t="str">
        <f>IF(C28="","",SCA!J28)</f>
        <v/>
      </c>
      <c r="I28" s="105" t="str">
        <f t="shared" si="1"/>
        <v/>
      </c>
    </row>
    <row r="29" spans="1:9" x14ac:dyDescent="0.2">
      <c r="B29" s="128"/>
      <c r="C29" s="129" t="str">
        <f>IF(SCA!C29="","",SCA!C29)</f>
        <v/>
      </c>
      <c r="D29" s="105" t="str">
        <f>IF(C29="","",-SCA!D29)</f>
        <v/>
      </c>
      <c r="E29" s="105" t="str">
        <f>IF(C29="","",-SCA!F29)</f>
        <v/>
      </c>
      <c r="F29" s="105" t="str">
        <f t="shared" si="0"/>
        <v/>
      </c>
      <c r="G29" s="105" t="str">
        <f>IF(C29="","",SCA!H29)</f>
        <v/>
      </c>
      <c r="H29" s="105" t="str">
        <f>IF(C29="","",SCA!J29)</f>
        <v/>
      </c>
      <c r="I29" s="105" t="str">
        <f t="shared" si="1"/>
        <v/>
      </c>
    </row>
    <row r="30" spans="1:9" x14ac:dyDescent="0.2">
      <c r="B30" s="128"/>
      <c r="C30" s="129" t="str">
        <f>IF(SCA!C30="","",SCA!C30)</f>
        <v/>
      </c>
      <c r="D30" s="105" t="str">
        <f>IF(C30="","",-SCA!D30)</f>
        <v/>
      </c>
      <c r="E30" s="105" t="str">
        <f>IF(C30="","",-SCA!F30)</f>
        <v/>
      </c>
      <c r="F30" s="105" t="str">
        <f t="shared" si="0"/>
        <v/>
      </c>
      <c r="G30" s="105" t="str">
        <f>IF(C30="","",SCA!H30)</f>
        <v/>
      </c>
      <c r="H30" s="105" t="str">
        <f>IF(C30="","",SCA!J30)</f>
        <v/>
      </c>
      <c r="I30" s="105" t="str">
        <f t="shared" si="1"/>
        <v/>
      </c>
    </row>
    <row r="31" spans="1:9" x14ac:dyDescent="0.2">
      <c r="B31" s="128"/>
      <c r="C31" s="129" t="str">
        <f>IF(SCA!C31="","",SCA!C31)</f>
        <v/>
      </c>
      <c r="D31" s="105" t="str">
        <f>IF(C31="","",-SCA!D31)</f>
        <v/>
      </c>
      <c r="E31" s="105" t="str">
        <f>IF(C31="","",-SCA!F31)</f>
        <v/>
      </c>
      <c r="F31" s="105" t="str">
        <f t="shared" si="0"/>
        <v/>
      </c>
      <c r="G31" s="105" t="str">
        <f>IF(C31="","",SCA!H31)</f>
        <v/>
      </c>
      <c r="H31" s="105" t="str">
        <f>IF(C31="","",SCA!J31)</f>
        <v/>
      </c>
      <c r="I31" s="105" t="str">
        <f t="shared" si="1"/>
        <v/>
      </c>
    </row>
    <row r="32" spans="1:9" x14ac:dyDescent="0.2">
      <c r="B32" s="128"/>
      <c r="C32" s="129" t="str">
        <f>IF(SCA!C32="","",SCA!C32)</f>
        <v/>
      </c>
      <c r="D32" s="105" t="str">
        <f>IF(C32="","",-SCA!D32)</f>
        <v/>
      </c>
      <c r="E32" s="105" t="str">
        <f>IF(C32="","",-SCA!F32)</f>
        <v/>
      </c>
      <c r="F32" s="105" t="str">
        <f t="shared" si="0"/>
        <v/>
      </c>
      <c r="G32" s="105" t="str">
        <f>IF(C32="","",SCA!H32)</f>
        <v/>
      </c>
      <c r="H32" s="105" t="str">
        <f>IF(C32="","",SCA!J32)</f>
        <v/>
      </c>
      <c r="I32" s="105" t="str">
        <f t="shared" si="1"/>
        <v/>
      </c>
    </row>
    <row r="33" spans="2:9" x14ac:dyDescent="0.2">
      <c r="B33" s="128"/>
      <c r="C33" s="129" t="str">
        <f>IF(SCA!C33="","",SCA!C33)</f>
        <v/>
      </c>
      <c r="D33" s="105" t="str">
        <f>IF(C33="","",-SCA!D33)</f>
        <v/>
      </c>
      <c r="E33" s="105" t="str">
        <f>IF(C33="","",-SCA!F33)</f>
        <v/>
      </c>
      <c r="F33" s="105" t="str">
        <f t="shared" si="0"/>
        <v/>
      </c>
      <c r="G33" s="105" t="str">
        <f>IF(C33="","",SCA!H33)</f>
        <v/>
      </c>
      <c r="H33" s="105" t="str">
        <f>IF(C33="","",SCA!J33)</f>
        <v/>
      </c>
      <c r="I33" s="105" t="str">
        <f t="shared" si="1"/>
        <v/>
      </c>
    </row>
    <row r="34" spans="2:9" x14ac:dyDescent="0.2">
      <c r="B34" s="128"/>
      <c r="C34" s="129" t="str">
        <f>IF(SCA!C34="","",SCA!C34)</f>
        <v/>
      </c>
      <c r="D34" s="105" t="str">
        <f>IF(C34="","",-SCA!D34)</f>
        <v/>
      </c>
      <c r="E34" s="105" t="str">
        <f>IF(C34="","",-SCA!F34)</f>
        <v/>
      </c>
      <c r="F34" s="105" t="str">
        <f t="shared" si="0"/>
        <v/>
      </c>
      <c r="G34" s="105" t="str">
        <f>IF(C34="","",SCA!H34)</f>
        <v/>
      </c>
      <c r="H34" s="105" t="str">
        <f>IF(C34="","",SCA!J34)</f>
        <v/>
      </c>
      <c r="I34" s="105" t="str">
        <f t="shared" si="1"/>
        <v/>
      </c>
    </row>
    <row r="35" spans="2:9" x14ac:dyDescent="0.2">
      <c r="B35" s="128"/>
      <c r="C35" s="129" t="str">
        <f>IF(SCA!C35="","",SCA!C35)</f>
        <v/>
      </c>
      <c r="D35" s="105" t="str">
        <f>IF(C35="","",-SCA!D35)</f>
        <v/>
      </c>
      <c r="E35" s="105" t="str">
        <f>IF(C35="","",-SCA!F35)</f>
        <v/>
      </c>
      <c r="F35" s="105" t="str">
        <f t="shared" si="0"/>
        <v/>
      </c>
      <c r="G35" s="105" t="str">
        <f>IF(C35="","",SCA!H35)</f>
        <v/>
      </c>
      <c r="H35" s="105" t="str">
        <f>IF(C35="","",SCA!J35)</f>
        <v/>
      </c>
      <c r="I35" s="105" t="str">
        <f t="shared" si="1"/>
        <v/>
      </c>
    </row>
    <row r="36" spans="2:9" x14ac:dyDescent="0.2">
      <c r="B36" s="128"/>
      <c r="C36" s="129" t="str">
        <f>IF(SCA!C36="","",SCA!C36)</f>
        <v/>
      </c>
      <c r="D36" s="105" t="str">
        <f>IF(C36="","",-SCA!D36)</f>
        <v/>
      </c>
      <c r="E36" s="105" t="str">
        <f>IF(C36="","",-SCA!F36)</f>
        <v/>
      </c>
      <c r="F36" s="105" t="str">
        <f t="shared" si="0"/>
        <v/>
      </c>
      <c r="G36" s="105" t="str">
        <f>IF(C36="","",SCA!H36)</f>
        <v/>
      </c>
      <c r="H36" s="105" t="str">
        <f>IF(C36="","",SCA!J36)</f>
        <v/>
      </c>
      <c r="I36" s="105" t="str">
        <f t="shared" si="1"/>
        <v/>
      </c>
    </row>
    <row r="37" spans="2:9" x14ac:dyDescent="0.2">
      <c r="B37" s="128"/>
      <c r="C37" s="129" t="str">
        <f>IF(SCA!C37="","",SCA!C37)</f>
        <v/>
      </c>
      <c r="D37" s="105" t="str">
        <f>IF(C37="","",-SCA!D37)</f>
        <v/>
      </c>
      <c r="E37" s="105" t="str">
        <f>IF(C37="","",-SCA!F37)</f>
        <v/>
      </c>
      <c r="F37" s="105" t="str">
        <f t="shared" si="0"/>
        <v/>
      </c>
      <c r="G37" s="105" t="str">
        <f>IF(C37="","",SCA!H37)</f>
        <v/>
      </c>
      <c r="H37" s="105" t="str">
        <f>IF(C37="","",SCA!J37)</f>
        <v/>
      </c>
      <c r="I37" s="105" t="str">
        <f t="shared" si="1"/>
        <v/>
      </c>
    </row>
    <row r="38" spans="2:9" x14ac:dyDescent="0.2">
      <c r="B38" s="128"/>
      <c r="C38" s="129" t="str">
        <f>IF(SCA!C38="","",SCA!C38)</f>
        <v/>
      </c>
      <c r="D38" s="105" t="str">
        <f>IF(C38="","",-SCA!D38)</f>
        <v/>
      </c>
      <c r="E38" s="105" t="str">
        <f>IF(C38="","",-SCA!F38)</f>
        <v/>
      </c>
      <c r="F38" s="105" t="str">
        <f t="shared" si="0"/>
        <v/>
      </c>
      <c r="G38" s="105" t="str">
        <f>IF(C38="","",SCA!H38)</f>
        <v/>
      </c>
      <c r="H38" s="105" t="str">
        <f>IF(C38="","",SCA!J38)</f>
        <v/>
      </c>
      <c r="I38" s="105" t="str">
        <f t="shared" si="1"/>
        <v/>
      </c>
    </row>
    <row r="39" spans="2:9" x14ac:dyDescent="0.2">
      <c r="B39" s="128"/>
      <c r="C39" s="129" t="str">
        <f>IF(SCA!C39="","",SCA!C39)</f>
        <v/>
      </c>
      <c r="D39" s="105" t="str">
        <f>IF(C39="","",-SCA!D39)</f>
        <v/>
      </c>
      <c r="E39" s="105" t="str">
        <f>IF(C39="","",-SCA!F39)</f>
        <v/>
      </c>
      <c r="F39" s="105" t="str">
        <f t="shared" si="0"/>
        <v/>
      </c>
      <c r="G39" s="105" t="str">
        <f>IF(C39="","",SCA!H39)</f>
        <v/>
      </c>
      <c r="H39" s="105" t="str">
        <f>IF(C39="","",SCA!J39)</f>
        <v/>
      </c>
      <c r="I39" s="105" t="str">
        <f t="shared" si="1"/>
        <v/>
      </c>
    </row>
    <row r="40" spans="2:9" x14ac:dyDescent="0.2">
      <c r="B40" s="128"/>
      <c r="C40" s="129" t="str">
        <f>IF(SCA!C40="","",SCA!C40)</f>
        <v/>
      </c>
      <c r="D40" s="105" t="str">
        <f>IF(C40="","",-SCA!D40)</f>
        <v/>
      </c>
      <c r="E40" s="105" t="str">
        <f>IF(C40="","",-SCA!F40)</f>
        <v/>
      </c>
      <c r="F40" s="105" t="str">
        <f t="shared" si="0"/>
        <v/>
      </c>
      <c r="G40" s="105" t="str">
        <f>IF(C40="","",SCA!H40)</f>
        <v/>
      </c>
      <c r="H40" s="105" t="str">
        <f>IF(C40="","",SCA!J40)</f>
        <v/>
      </c>
      <c r="I40" s="105" t="str">
        <f t="shared" si="1"/>
        <v/>
      </c>
    </row>
    <row r="41" spans="2:9" x14ac:dyDescent="0.2">
      <c r="B41" s="128"/>
      <c r="C41" s="129" t="str">
        <f>IF(SCA!C41="","",SCA!C41)</f>
        <v/>
      </c>
      <c r="D41" s="105" t="str">
        <f>IF(C41="","",-SCA!D41)</f>
        <v/>
      </c>
      <c r="E41" s="105" t="str">
        <f>IF(C41="","",-SCA!F41)</f>
        <v/>
      </c>
      <c r="F41" s="105" t="str">
        <f t="shared" si="0"/>
        <v/>
      </c>
      <c r="G41" s="105" t="str">
        <f>IF(C41="","",SCA!H41)</f>
        <v/>
      </c>
      <c r="H41" s="105" t="str">
        <f>IF(C41="","",SCA!J41)</f>
        <v/>
      </c>
      <c r="I41" s="105" t="str">
        <f t="shared" si="1"/>
        <v/>
      </c>
    </row>
    <row r="42" spans="2:9" x14ac:dyDescent="0.2">
      <c r="B42" s="128"/>
      <c r="C42" s="129" t="str">
        <f>IF(SCA!C42="","",SCA!C42)</f>
        <v/>
      </c>
      <c r="D42" s="105" t="str">
        <f>IF(C42="","",-SCA!D42)</f>
        <v/>
      </c>
      <c r="E42" s="105" t="str">
        <f>IF(C42="","",-SCA!F42)</f>
        <v/>
      </c>
      <c r="F42" s="105" t="str">
        <f t="shared" si="0"/>
        <v/>
      </c>
      <c r="G42" s="105" t="str">
        <f>IF(C42="","",SCA!H42)</f>
        <v/>
      </c>
      <c r="H42" s="105" t="str">
        <f>IF(C42="","",SCA!J42)</f>
        <v/>
      </c>
      <c r="I42" s="105" t="str">
        <f t="shared" si="1"/>
        <v/>
      </c>
    </row>
    <row r="43" spans="2:9" x14ac:dyDescent="0.2">
      <c r="B43" s="128"/>
      <c r="C43" s="129" t="str">
        <f>IF(SCA!C43="","",SCA!C43)</f>
        <v/>
      </c>
      <c r="D43" s="105" t="str">
        <f>IF(C43="","",-SCA!D43)</f>
        <v/>
      </c>
      <c r="E43" s="105" t="str">
        <f>IF(C43="","",-SCA!F43)</f>
        <v/>
      </c>
      <c r="F43" s="105" t="str">
        <f t="shared" si="0"/>
        <v/>
      </c>
      <c r="G43" s="105" t="str">
        <f>IF(C43="","",SCA!H43)</f>
        <v/>
      </c>
      <c r="H43" s="105" t="str">
        <f>IF(C43="","",SCA!J43)</f>
        <v/>
      </c>
      <c r="I43" s="105" t="str">
        <f t="shared" si="1"/>
        <v/>
      </c>
    </row>
    <row r="44" spans="2:9" x14ac:dyDescent="0.2">
      <c r="B44" s="128"/>
      <c r="C44" s="129" t="str">
        <f>IF(SCA!C44="","",SCA!C44)</f>
        <v/>
      </c>
      <c r="D44" s="105" t="str">
        <f>IF(C44="","",-SCA!D44)</f>
        <v/>
      </c>
      <c r="E44" s="105" t="str">
        <f>IF(C44="","",-SCA!F44)</f>
        <v/>
      </c>
      <c r="F44" s="105" t="str">
        <f t="shared" si="0"/>
        <v/>
      </c>
      <c r="G44" s="105" t="str">
        <f>IF(C44="","",SCA!H44)</f>
        <v/>
      </c>
      <c r="H44" s="105" t="str">
        <f>IF(C44="","",SCA!J44)</f>
        <v/>
      </c>
      <c r="I44" s="105" t="str">
        <f t="shared" si="1"/>
        <v/>
      </c>
    </row>
    <row r="45" spans="2:9" x14ac:dyDescent="0.2">
      <c r="B45" s="128"/>
      <c r="C45" s="129" t="str">
        <f>IF(SCA!C45="","",SCA!C45)</f>
        <v/>
      </c>
      <c r="D45" s="105" t="str">
        <f>IF(C45="","",-SCA!D45)</f>
        <v/>
      </c>
      <c r="E45" s="105" t="str">
        <f>IF(C45="","",-SCA!F45)</f>
        <v/>
      </c>
      <c r="F45" s="105" t="str">
        <f t="shared" si="0"/>
        <v/>
      </c>
      <c r="G45" s="105" t="str">
        <f>IF(C45="","",SCA!H45)</f>
        <v/>
      </c>
      <c r="H45" s="105" t="str">
        <f>IF(C45="","",SCA!J45)</f>
        <v/>
      </c>
      <c r="I45" s="105" t="str">
        <f t="shared" si="1"/>
        <v/>
      </c>
    </row>
    <row r="46" spans="2:9" x14ac:dyDescent="0.2">
      <c r="B46" s="128"/>
      <c r="C46" s="129" t="str">
        <f>IF(SCA!C46="","",SCA!C46)</f>
        <v/>
      </c>
      <c r="D46" s="105" t="str">
        <f>IF(C46="","",-SCA!D46)</f>
        <v/>
      </c>
      <c r="E46" s="105" t="str">
        <f>IF(C46="","",-SCA!F46)</f>
        <v/>
      </c>
      <c r="F46" s="105" t="str">
        <f t="shared" si="0"/>
        <v/>
      </c>
      <c r="G46" s="105" t="str">
        <f>IF(C46="","",SCA!H46)</f>
        <v/>
      </c>
      <c r="H46" s="105" t="str">
        <f>IF(C46="","",SCA!J46)</f>
        <v/>
      </c>
      <c r="I46" s="105" t="str">
        <f t="shared" si="1"/>
        <v/>
      </c>
    </row>
    <row r="47" spans="2:9" x14ac:dyDescent="0.2">
      <c r="B47" s="128"/>
      <c r="C47" s="129" t="str">
        <f>IF(SCA!C47="","",SCA!C47)</f>
        <v/>
      </c>
      <c r="D47" s="105" t="str">
        <f>IF(C47="","",-SCA!D47)</f>
        <v/>
      </c>
      <c r="E47" s="105" t="str">
        <f>IF(C47="","",-SCA!F47)</f>
        <v/>
      </c>
      <c r="F47" s="105" t="str">
        <f t="shared" si="0"/>
        <v/>
      </c>
      <c r="G47" s="105" t="str">
        <f>IF(C47="","",SCA!H47)</f>
        <v/>
      </c>
      <c r="H47" s="105" t="str">
        <f>IF(C47="","",SCA!J47)</f>
        <v/>
      </c>
      <c r="I47" s="105" t="str">
        <f t="shared" si="1"/>
        <v/>
      </c>
    </row>
    <row r="48" spans="2:9" x14ac:dyDescent="0.2">
      <c r="B48" s="128"/>
      <c r="C48" s="129" t="str">
        <f>IF(SCA!C48="","",SCA!C48)</f>
        <v/>
      </c>
      <c r="D48" s="105" t="str">
        <f>IF(C48="","",-SCA!D48)</f>
        <v/>
      </c>
      <c r="E48" s="105" t="str">
        <f>IF(C48="","",-SCA!F48)</f>
        <v/>
      </c>
      <c r="F48" s="105" t="str">
        <f t="shared" si="0"/>
        <v/>
      </c>
      <c r="G48" s="105" t="str">
        <f>IF(C48="","",SCA!H48)</f>
        <v/>
      </c>
      <c r="H48" s="105" t="str">
        <f>IF(C48="","",SCA!J48)</f>
        <v/>
      </c>
      <c r="I48" s="105" t="str">
        <f t="shared" si="1"/>
        <v/>
      </c>
    </row>
    <row r="49" spans="2:9" x14ac:dyDescent="0.2">
      <c r="B49" s="128"/>
      <c r="C49" s="129" t="str">
        <f>IF(SCA!C49="","",SCA!C49)</f>
        <v/>
      </c>
      <c r="D49" s="105" t="str">
        <f>IF(C49="","",-SCA!D49)</f>
        <v/>
      </c>
      <c r="E49" s="105" t="str">
        <f>IF(C49="","",-SCA!F49)</f>
        <v/>
      </c>
      <c r="F49" s="105" t="str">
        <f t="shared" si="0"/>
        <v/>
      </c>
      <c r="G49" s="105" t="str">
        <f>IF(C49="","",SCA!H49)</f>
        <v/>
      </c>
      <c r="H49" s="105" t="str">
        <f>IF(C49="","",SCA!J49)</f>
        <v/>
      </c>
      <c r="I49" s="105" t="str">
        <f t="shared" si="1"/>
        <v/>
      </c>
    </row>
    <row r="50" spans="2:9" x14ac:dyDescent="0.2">
      <c r="B50" s="128"/>
      <c r="C50" s="129" t="str">
        <f>IF(SCA!C50="","",SCA!C50)</f>
        <v/>
      </c>
      <c r="D50" s="105" t="str">
        <f>IF(C50="","",-SCA!D50)</f>
        <v/>
      </c>
      <c r="E50" s="105" t="str">
        <f>IF(C50="","",-SCA!F50)</f>
        <v/>
      </c>
      <c r="F50" s="105" t="str">
        <f t="shared" si="0"/>
        <v/>
      </c>
      <c r="G50" s="105" t="str">
        <f>IF(C50="","",SCA!H50)</f>
        <v/>
      </c>
      <c r="H50" s="105" t="str">
        <f>IF(C50="","",SCA!J50)</f>
        <v/>
      </c>
      <c r="I50" s="105" t="str">
        <f t="shared" si="1"/>
        <v/>
      </c>
    </row>
    <row r="51" spans="2:9" x14ac:dyDescent="0.2">
      <c r="B51" s="128"/>
      <c r="C51" s="129" t="str">
        <f>IF(SCA!C51="","",SCA!C51)</f>
        <v/>
      </c>
      <c r="D51" s="105" t="str">
        <f>IF(C51="","",-SCA!D51)</f>
        <v/>
      </c>
      <c r="E51" s="105" t="str">
        <f>IF(C51="","",-SCA!F51)</f>
        <v/>
      </c>
      <c r="F51" s="105" t="str">
        <f t="shared" si="0"/>
        <v/>
      </c>
      <c r="G51" s="105" t="str">
        <f>IF(C51="","",SCA!H51)</f>
        <v/>
      </c>
      <c r="H51" s="105" t="str">
        <f>IF(C51="","",SCA!J51)</f>
        <v/>
      </c>
      <c r="I51" s="105" t="str">
        <f t="shared" si="1"/>
        <v/>
      </c>
    </row>
    <row r="52" spans="2:9" x14ac:dyDescent="0.2">
      <c r="B52" s="128"/>
      <c r="C52" s="129" t="str">
        <f>IF(SCA!C52="","",SCA!C52)</f>
        <v/>
      </c>
      <c r="D52" s="105" t="str">
        <f>IF(C52="","",-SCA!D52)</f>
        <v/>
      </c>
      <c r="E52" s="105" t="str">
        <f>IF(C52="","",-SCA!F52)</f>
        <v/>
      </c>
      <c r="F52" s="105" t="str">
        <f t="shared" si="0"/>
        <v/>
      </c>
      <c r="G52" s="105" t="str">
        <f>IF(C52="","",SCA!H52)</f>
        <v/>
      </c>
      <c r="H52" s="105" t="str">
        <f>IF(C52="","",SCA!J52)</f>
        <v/>
      </c>
      <c r="I52" s="105" t="str">
        <f t="shared" si="1"/>
        <v/>
      </c>
    </row>
    <row r="53" spans="2:9" x14ac:dyDescent="0.2">
      <c r="B53" s="128"/>
      <c r="C53" s="129" t="str">
        <f>IF(SCA!C53="","",SCA!C53)</f>
        <v/>
      </c>
      <c r="D53" s="105" t="str">
        <f>IF(C53="","",-SCA!D53)</f>
        <v/>
      </c>
      <c r="E53" s="105" t="str">
        <f>IF(C53="","",-SCA!F53)</f>
        <v/>
      </c>
      <c r="F53" s="105" t="str">
        <f t="shared" si="0"/>
        <v/>
      </c>
      <c r="G53" s="105" t="str">
        <f>IF(C53="","",SCA!H53)</f>
        <v/>
      </c>
      <c r="H53" s="105" t="str">
        <f>IF(C53="","",SCA!J53)</f>
        <v/>
      </c>
      <c r="I53" s="105" t="str">
        <f>IF(C53="","",F53-G53)</f>
        <v/>
      </c>
    </row>
    <row r="54" spans="2:9" x14ac:dyDescent="0.2">
      <c r="B54" s="128"/>
      <c r="C54" s="129" t="str">
        <f>IF(SCA!C54="","",SCA!C54)</f>
        <v/>
      </c>
      <c r="D54" s="105" t="str">
        <f>IF(C54="","",-SCA!D54)</f>
        <v/>
      </c>
      <c r="E54" s="105" t="str">
        <f>IF(C54="","",-SCA!F54)</f>
        <v/>
      </c>
      <c r="F54" s="105" t="str">
        <f>IF(C54="","",D54+E54)</f>
        <v/>
      </c>
      <c r="G54" s="105" t="str">
        <f>IF(C54="","",SCA!H54)</f>
        <v/>
      </c>
      <c r="H54" s="105" t="str">
        <f>IF(C54="","",SCA!J54)</f>
        <v/>
      </c>
      <c r="I54" s="105" t="str">
        <f t="shared" si="1"/>
        <v/>
      </c>
    </row>
    <row r="55" spans="2:9" x14ac:dyDescent="0.2">
      <c r="B55" s="128"/>
      <c r="C55" s="129" t="str">
        <f>IF(SCA!C55="","",SCA!C55)</f>
        <v/>
      </c>
      <c r="D55" s="105" t="str">
        <f>IF(C55="","",-SCA!D55)</f>
        <v/>
      </c>
      <c r="E55" s="105" t="str">
        <f>IF(C55="","",-SCA!F55)</f>
        <v/>
      </c>
      <c r="F55" s="105" t="str">
        <f t="shared" si="0"/>
        <v/>
      </c>
      <c r="G55" s="105" t="str">
        <f>IF(C55="","",SCA!H55)</f>
        <v/>
      </c>
      <c r="H55" s="105" t="str">
        <f>IF(C55="","",SCA!J55)</f>
        <v/>
      </c>
      <c r="I55" s="105" t="str">
        <f t="shared" si="1"/>
        <v/>
      </c>
    </row>
    <row r="56" spans="2:9" x14ac:dyDescent="0.2">
      <c r="B56" s="128"/>
      <c r="C56" s="129" t="str">
        <f>IF(SCA!C56="","",SCA!C56)</f>
        <v/>
      </c>
      <c r="D56" s="105" t="str">
        <f>IF(C56="","",-SCA!D56)</f>
        <v/>
      </c>
      <c r="E56" s="105" t="str">
        <f>IF(C56="","",-SCA!F56)</f>
        <v/>
      </c>
      <c r="F56" s="105" t="str">
        <f t="shared" si="0"/>
        <v/>
      </c>
      <c r="G56" s="105" t="str">
        <f>IF(C56="","",SCA!H56)</f>
        <v/>
      </c>
      <c r="H56" s="105" t="str">
        <f>IF(C56="","",SCA!J56)</f>
        <v/>
      </c>
      <c r="I56" s="105" t="str">
        <f t="shared" si="1"/>
        <v/>
      </c>
    </row>
    <row r="57" spans="2:9" x14ac:dyDescent="0.2">
      <c r="B57" s="128"/>
      <c r="C57" s="129" t="str">
        <f>IF(SCA!C57="","",SCA!C57)</f>
        <v/>
      </c>
      <c r="D57" s="105" t="str">
        <f>IF(C57="","",-SCA!D57)</f>
        <v/>
      </c>
      <c r="E57" s="105" t="str">
        <f>IF(C57="","",-SCA!F57)</f>
        <v/>
      </c>
      <c r="F57" s="105" t="str">
        <f t="shared" si="0"/>
        <v/>
      </c>
      <c r="G57" s="105" t="str">
        <f>IF(C57="","",SCA!H57)</f>
        <v/>
      </c>
      <c r="H57" s="105" t="str">
        <f>IF(C57="","",SCA!J57)</f>
        <v/>
      </c>
      <c r="I57" s="105" t="str">
        <f t="shared" si="1"/>
        <v/>
      </c>
    </row>
    <row r="58" spans="2:9" x14ac:dyDescent="0.2">
      <c r="B58" s="128"/>
      <c r="C58" s="129" t="str">
        <f>IF(SCA!C58="","",SCA!C58)</f>
        <v/>
      </c>
      <c r="D58" s="105" t="str">
        <f>IF(C58="","",-SCA!D58)</f>
        <v/>
      </c>
      <c r="E58" s="105" t="str">
        <f>IF(C58="","",-SCA!F58)</f>
        <v/>
      </c>
      <c r="F58" s="105" t="str">
        <f t="shared" si="0"/>
        <v/>
      </c>
      <c r="G58" s="105" t="str">
        <f>IF(C58="","",SCA!H58)</f>
        <v/>
      </c>
      <c r="H58" s="105" t="str">
        <f>IF(C58="","",SCA!J58)</f>
        <v/>
      </c>
      <c r="I58" s="105" t="str">
        <f t="shared" si="1"/>
        <v/>
      </c>
    </row>
    <row r="59" spans="2:9" x14ac:dyDescent="0.2">
      <c r="B59" s="128"/>
      <c r="C59" s="129" t="str">
        <f>IF(SCA!C59="","",SCA!C59)</f>
        <v/>
      </c>
      <c r="D59" s="105" t="str">
        <f>IF(C59="","",-SCA!D59)</f>
        <v/>
      </c>
      <c r="E59" s="105" t="str">
        <f>IF(C59="","",-SCA!F59)</f>
        <v/>
      </c>
      <c r="F59" s="105" t="str">
        <f t="shared" si="0"/>
        <v/>
      </c>
      <c r="G59" s="105" t="str">
        <f>IF(C59="","",SCA!H59)</f>
        <v/>
      </c>
      <c r="H59" s="105" t="str">
        <f>IF(C59="","",SCA!J59)</f>
        <v/>
      </c>
      <c r="I59" s="105" t="str">
        <f t="shared" si="1"/>
        <v/>
      </c>
    </row>
    <row r="60" spans="2:9" x14ac:dyDescent="0.2">
      <c r="B60" s="128"/>
      <c r="C60" s="129" t="str">
        <f>IF(SCA!C60="","",SCA!C60)</f>
        <v/>
      </c>
      <c r="D60" s="105" t="str">
        <f>IF(C60="","",-SCA!D60)</f>
        <v/>
      </c>
      <c r="E60" s="105" t="str">
        <f>IF(C60="","",-SCA!F60)</f>
        <v/>
      </c>
      <c r="F60" s="105" t="str">
        <f t="shared" si="0"/>
        <v/>
      </c>
      <c r="G60" s="105" t="str">
        <f>IF(C60="","",SCA!H60)</f>
        <v/>
      </c>
      <c r="H60" s="105" t="str">
        <f>IF(C60="","",SCA!J60)</f>
        <v/>
      </c>
      <c r="I60" s="105" t="str">
        <f t="shared" si="1"/>
        <v/>
      </c>
    </row>
    <row r="61" spans="2:9" x14ac:dyDescent="0.2">
      <c r="B61" s="128"/>
      <c r="C61" s="129" t="str">
        <f>IF(SCA!C61="","",SCA!C61)</f>
        <v/>
      </c>
      <c r="D61" s="105" t="str">
        <f>IF(C61="","",-SCA!D61)</f>
        <v/>
      </c>
      <c r="E61" s="105" t="str">
        <f>IF(C61="","",-SCA!F61)</f>
        <v/>
      </c>
      <c r="F61" s="105" t="str">
        <f t="shared" si="0"/>
        <v/>
      </c>
      <c r="G61" s="105" t="str">
        <f>IF(C61="","",SCA!H61)</f>
        <v/>
      </c>
      <c r="H61" s="105" t="str">
        <f>IF(C61="","",SCA!J61)</f>
        <v/>
      </c>
      <c r="I61" s="105" t="str">
        <f t="shared" si="1"/>
        <v/>
      </c>
    </row>
    <row r="62" spans="2:9" x14ac:dyDescent="0.2">
      <c r="B62" s="128"/>
      <c r="C62" s="129" t="str">
        <f>IF(SCA!C62="","",SCA!C62)</f>
        <v/>
      </c>
      <c r="D62" s="105" t="str">
        <f>IF(C62="","",-SCA!D62)</f>
        <v/>
      </c>
      <c r="E62" s="105" t="str">
        <f>IF(C62="","",-SCA!F62)</f>
        <v/>
      </c>
      <c r="F62" s="105" t="str">
        <f t="shared" si="0"/>
        <v/>
      </c>
      <c r="G62" s="105" t="str">
        <f>IF(C62="","",SCA!H62)</f>
        <v/>
      </c>
      <c r="H62" s="105" t="str">
        <f>IF(C62="","",SCA!J62)</f>
        <v/>
      </c>
      <c r="I62" s="105" t="str">
        <f t="shared" si="1"/>
        <v/>
      </c>
    </row>
    <row r="63" spans="2:9" x14ac:dyDescent="0.2">
      <c r="B63" s="128"/>
      <c r="C63" s="129" t="str">
        <f>IF(SCA!C63="","",SCA!C63)</f>
        <v/>
      </c>
      <c r="D63" s="105" t="str">
        <f>IF(C63="","",-SCA!D63)</f>
        <v/>
      </c>
      <c r="E63" s="105" t="str">
        <f>IF(C63="","",-SCA!F63)</f>
        <v/>
      </c>
      <c r="F63" s="105" t="str">
        <f t="shared" si="0"/>
        <v/>
      </c>
      <c r="G63" s="105" t="str">
        <f>IF(C63="","",SCA!H63)</f>
        <v/>
      </c>
      <c r="H63" s="105" t="str">
        <f>IF(C63="","",SCA!J63)</f>
        <v/>
      </c>
      <c r="I63" s="105" t="str">
        <f t="shared" si="1"/>
        <v/>
      </c>
    </row>
    <row r="64" spans="2:9" x14ac:dyDescent="0.2">
      <c r="B64" s="128"/>
      <c r="C64" s="129" t="str">
        <f>IF(SCA!C64="","",SCA!C64)</f>
        <v/>
      </c>
      <c r="D64" s="105" t="str">
        <f>IF(C64="","",-SCA!D64)</f>
        <v/>
      </c>
      <c r="E64" s="105" t="str">
        <f>IF(C64="","",-SCA!F64)</f>
        <v/>
      </c>
      <c r="F64" s="105" t="str">
        <f t="shared" si="0"/>
        <v/>
      </c>
      <c r="G64" s="105" t="str">
        <f>IF(C64="","",SCA!H64)</f>
        <v/>
      </c>
      <c r="H64" s="105" t="str">
        <f>IF(C64="","",SCA!J64)</f>
        <v/>
      </c>
      <c r="I64" s="105" t="str">
        <f t="shared" si="1"/>
        <v/>
      </c>
    </row>
    <row r="65" spans="1:9" x14ac:dyDescent="0.2">
      <c r="B65" s="128"/>
      <c r="C65" s="129" t="str">
        <f>IF(SCA!C65="","",SCA!C65)</f>
        <v/>
      </c>
      <c r="D65" s="105" t="str">
        <f>IF(C65="","",-SCA!D65)</f>
        <v/>
      </c>
      <c r="E65" s="105" t="str">
        <f>IF(C65="","",-SCA!F65)</f>
        <v/>
      </c>
      <c r="F65" s="105" t="str">
        <f t="shared" si="0"/>
        <v/>
      </c>
      <c r="G65" s="105" t="str">
        <f>IF(C65="","",SCA!H65)</f>
        <v/>
      </c>
      <c r="H65" s="105" t="str">
        <f>IF(C65="","",SCA!J65)</f>
        <v/>
      </c>
      <c r="I65" s="105" t="str">
        <f t="shared" si="1"/>
        <v/>
      </c>
    </row>
    <row r="66" spans="1:9" x14ac:dyDescent="0.2">
      <c r="B66" s="128"/>
      <c r="C66" s="129" t="str">
        <f>IF(SCA!C66="","",SCA!C66)</f>
        <v/>
      </c>
      <c r="D66" s="105" t="str">
        <f>IF(C66="","",-SCA!D66)</f>
        <v/>
      </c>
      <c r="E66" s="105" t="str">
        <f>IF(C66="","",-SCA!F66)</f>
        <v/>
      </c>
      <c r="F66" s="105" t="str">
        <f t="shared" si="0"/>
        <v/>
      </c>
      <c r="G66" s="105" t="str">
        <f>IF(C66="","",SCA!H66)</f>
        <v/>
      </c>
      <c r="H66" s="105" t="str">
        <f>IF(C66="","",SCA!J66)</f>
        <v/>
      </c>
      <c r="I66" s="105" t="str">
        <f t="shared" si="1"/>
        <v/>
      </c>
    </row>
    <row r="67" spans="1:9" x14ac:dyDescent="0.2">
      <c r="B67" s="128"/>
      <c r="C67" s="129" t="str">
        <f>IF(SCA!C67="","",SCA!C67)</f>
        <v/>
      </c>
      <c r="D67" s="105" t="str">
        <f>IF(C67="","",-SCA!D67)</f>
        <v/>
      </c>
      <c r="E67" s="105" t="str">
        <f>IF(C67="","",-SCA!F67)</f>
        <v/>
      </c>
      <c r="F67" s="105" t="str">
        <f t="shared" si="0"/>
        <v/>
      </c>
      <c r="G67" s="105" t="str">
        <f>IF(C67="","",SCA!H67)</f>
        <v/>
      </c>
      <c r="H67" s="105" t="str">
        <f>IF(C67="","",SCA!J67)</f>
        <v/>
      </c>
      <c r="I67" s="105" t="str">
        <f t="shared" si="1"/>
        <v/>
      </c>
    </row>
    <row r="68" spans="1:9" x14ac:dyDescent="0.2">
      <c r="B68" s="128"/>
      <c r="C68" s="129" t="str">
        <f>IF(SCA!C68="","",SCA!C68)</f>
        <v/>
      </c>
      <c r="D68" s="105" t="str">
        <f>IF(C68="","",-SCA!D68)</f>
        <v/>
      </c>
      <c r="E68" s="105" t="str">
        <f>IF(C68="","",-SCA!F68)</f>
        <v/>
      </c>
      <c r="F68" s="105" t="str">
        <f t="shared" si="0"/>
        <v/>
      </c>
      <c r="G68" s="105" t="str">
        <f>IF(C68="","",SCA!H68)</f>
        <v/>
      </c>
      <c r="H68" s="105" t="str">
        <f>IF(C68="","",SCA!J68)</f>
        <v/>
      </c>
      <c r="I68" s="105" t="str">
        <f t="shared" si="1"/>
        <v/>
      </c>
    </row>
    <row r="69" spans="1:9" x14ac:dyDescent="0.2">
      <c r="B69" s="128"/>
      <c r="C69" s="129" t="str">
        <f>IF(SCA!C69="","",SCA!C69)</f>
        <v/>
      </c>
      <c r="D69" s="105" t="str">
        <f>IF(C69="","",-SCA!D69)</f>
        <v/>
      </c>
      <c r="E69" s="105" t="str">
        <f>IF(C69="","",-SCA!F69)</f>
        <v/>
      </c>
      <c r="F69" s="105" t="str">
        <f t="shared" si="0"/>
        <v/>
      </c>
      <c r="G69" s="105" t="str">
        <f>IF(C69="","",SCA!H69)</f>
        <v/>
      </c>
      <c r="H69" s="105" t="str">
        <f>IF(C69="","",SCA!J69)</f>
        <v/>
      </c>
      <c r="I69" s="105" t="str">
        <f t="shared" si="1"/>
        <v/>
      </c>
    </row>
    <row r="70" spans="1:9" x14ac:dyDescent="0.2">
      <c r="B70" s="128"/>
      <c r="C70" s="129" t="str">
        <f>IF(SCA!C70="","",SCA!C70)</f>
        <v/>
      </c>
      <c r="D70" s="105" t="str">
        <f>IF(C70="","",-SCA!D70)</f>
        <v/>
      </c>
      <c r="E70" s="105" t="str">
        <f>IF(C70="","",-SCA!F70)</f>
        <v/>
      </c>
      <c r="F70" s="105" t="str">
        <f t="shared" si="0"/>
        <v/>
      </c>
      <c r="G70" s="105" t="str">
        <f>IF(C70="","",SCA!H70)</f>
        <v/>
      </c>
      <c r="H70" s="105" t="str">
        <f>IF(C70="","",SCA!J70)</f>
        <v/>
      </c>
      <c r="I70" s="105" t="str">
        <f t="shared" si="1"/>
        <v/>
      </c>
    </row>
    <row r="71" spans="1:9" x14ac:dyDescent="0.2">
      <c r="B71" s="128"/>
      <c r="C71" s="129" t="str">
        <f>IF(SCA!C71="","",SCA!C71)</f>
        <v/>
      </c>
      <c r="D71" s="105" t="str">
        <f>IF(C71="","",-SCA!D71)</f>
        <v/>
      </c>
      <c r="E71" s="105" t="str">
        <f>IF(C71="","",-SCA!F71)</f>
        <v/>
      </c>
      <c r="F71" s="105" t="str">
        <f t="shared" si="0"/>
        <v/>
      </c>
      <c r="G71" s="105" t="str">
        <f>IF(C71="","",SCA!H71)</f>
        <v/>
      </c>
      <c r="H71" s="105" t="str">
        <f>IF(C71="","",SCA!J71)</f>
        <v/>
      </c>
      <c r="I71" s="105" t="str">
        <f t="shared" si="1"/>
        <v/>
      </c>
    </row>
    <row r="72" spans="1:9" x14ac:dyDescent="0.2">
      <c r="B72" s="128"/>
      <c r="C72" s="129" t="str">
        <f>IF(SCA!C72="","",SCA!C72)</f>
        <v/>
      </c>
      <c r="D72" s="105" t="str">
        <f>IF(C72="","",-SCA!D72)</f>
        <v/>
      </c>
      <c r="E72" s="105" t="str">
        <f>IF(C72="","",-SCA!F72)</f>
        <v/>
      </c>
      <c r="F72" s="105" t="str">
        <f t="shared" si="0"/>
        <v/>
      </c>
      <c r="G72" s="105" t="str">
        <f>IF(C72="","",SCA!H72)</f>
        <v/>
      </c>
      <c r="H72" s="105" t="str">
        <f>IF(C72="","",SCA!J72)</f>
        <v/>
      </c>
      <c r="I72" s="105" t="str">
        <f t="shared" si="1"/>
        <v/>
      </c>
    </row>
    <row r="73" spans="1:9" x14ac:dyDescent="0.2">
      <c r="B73" s="128"/>
      <c r="C73" s="129" t="str">
        <f>IF(SCA!C73="","",SCA!C73)</f>
        <v/>
      </c>
      <c r="D73" s="105" t="str">
        <f>IF(C73="","",-SCA!D73)</f>
        <v/>
      </c>
      <c r="E73" s="105" t="str">
        <f>IF(C73="","",-SCA!F73)</f>
        <v/>
      </c>
      <c r="F73" s="105" t="str">
        <f t="shared" si="0"/>
        <v/>
      </c>
      <c r="G73" s="105" t="str">
        <f>IF(C73="","",SCA!H73)</f>
        <v/>
      </c>
      <c r="H73" s="105" t="str">
        <f>IF(C73="","",SCA!J73)</f>
        <v/>
      </c>
      <c r="I73" s="105" t="str">
        <f t="shared" si="1"/>
        <v/>
      </c>
    </row>
    <row r="74" spans="1:9" x14ac:dyDescent="0.2">
      <c r="B74" s="128"/>
      <c r="C74" s="129" t="str">
        <f>IF(SCA!C74="","",SCA!C74)</f>
        <v/>
      </c>
      <c r="D74" s="105" t="str">
        <f>IF(C74="","",-SCA!D74)</f>
        <v/>
      </c>
      <c r="E74" s="105" t="str">
        <f>IF(C74="","",-SCA!F74)</f>
        <v/>
      </c>
      <c r="F74" s="105" t="str">
        <f t="shared" si="0"/>
        <v/>
      </c>
      <c r="G74" s="105" t="str">
        <f>IF(C74="","",SCA!H74)</f>
        <v/>
      </c>
      <c r="H74" s="105" t="str">
        <f>IF(C74="","",SCA!J74)</f>
        <v/>
      </c>
      <c r="I74" s="105" t="str">
        <f t="shared" si="1"/>
        <v/>
      </c>
    </row>
    <row r="75" spans="1:9" x14ac:dyDescent="0.2">
      <c r="B75" s="128"/>
      <c r="C75" s="129" t="str">
        <f>IF(SCA!C75="","",SCA!C75)</f>
        <v/>
      </c>
      <c r="D75" s="105"/>
      <c r="E75" s="105" t="str">
        <f>IF(C75="","",-SCA!F75)</f>
        <v/>
      </c>
      <c r="F75" s="105" t="str">
        <f t="shared" si="0"/>
        <v/>
      </c>
      <c r="G75" s="105" t="str">
        <f>IF(C75="","",SCA!H75)</f>
        <v/>
      </c>
      <c r="H75" s="105" t="str">
        <f>IF(C75="","",SCA!J75)</f>
        <v/>
      </c>
      <c r="I75" s="105" t="str">
        <f t="shared" si="1"/>
        <v/>
      </c>
    </row>
    <row r="76" spans="1:9" x14ac:dyDescent="0.2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 x14ac:dyDescent="0.2">
      <c r="A77" s="124"/>
      <c r="B77" s="134"/>
      <c r="C77" s="135" t="s">
        <v>248</v>
      </c>
      <c r="D77" s="136">
        <f t="shared" ref="D77:I77" si="2">SUM(D13:D76)</f>
        <v>0</v>
      </c>
      <c r="E77" s="136">
        <f t="shared" si="2"/>
        <v>0</v>
      </c>
      <c r="F77" s="136">
        <f t="shared" si="2"/>
        <v>0</v>
      </c>
      <c r="G77" s="136">
        <f t="shared" si="2"/>
        <v>0</v>
      </c>
      <c r="H77" s="136">
        <f t="shared" si="2"/>
        <v>0</v>
      </c>
      <c r="I77" s="136">
        <f t="shared" si="2"/>
        <v>0</v>
      </c>
    </row>
    <row r="78" spans="1:9" x14ac:dyDescent="0.2">
      <c r="B78" s="613" t="s">
        <v>149</v>
      </c>
      <c r="C78" s="613"/>
      <c r="D78" s="613"/>
      <c r="E78" s="613"/>
      <c r="F78" s="613"/>
      <c r="G78" s="613"/>
      <c r="H78" s="613"/>
      <c r="I78" s="21"/>
    </row>
    <row r="79" spans="1:9" ht="52.5" hidden="1" customHeight="1" x14ac:dyDescent="0.2">
      <c r="B79" s="638" t="s">
        <v>249</v>
      </c>
      <c r="C79" s="639"/>
      <c r="D79" s="639"/>
      <c r="E79" s="639"/>
      <c r="F79" s="639"/>
      <c r="G79" s="639"/>
      <c r="H79" s="639"/>
      <c r="I79" s="639"/>
    </row>
    <row r="80" spans="1:9" x14ac:dyDescent="0.2">
      <c r="B80" s="613"/>
      <c r="C80" s="613"/>
      <c r="D80" s="613"/>
      <c r="E80" s="613"/>
      <c r="F80" s="613"/>
      <c r="G80" s="613"/>
      <c r="H80" s="613"/>
      <c r="I80" s="21"/>
    </row>
    <row r="81" spans="2:9" x14ac:dyDescent="0.2">
      <c r="B81" s="21"/>
      <c r="C81" s="21"/>
      <c r="D81" s="21"/>
      <c r="E81" s="21"/>
      <c r="F81" s="21"/>
      <c r="G81" s="21"/>
      <c r="H81" s="21"/>
      <c r="I81" s="21"/>
    </row>
    <row r="82" spans="2:9" x14ac:dyDescent="0.2">
      <c r="B82" s="21"/>
      <c r="C82" s="21"/>
      <c r="D82" s="21"/>
      <c r="E82" s="21"/>
      <c r="F82" s="21"/>
      <c r="G82" s="21"/>
      <c r="H82" s="21"/>
      <c r="I82" s="21"/>
    </row>
    <row r="84" spans="2:9" x14ac:dyDescent="0.2">
      <c r="C84" s="1"/>
      <c r="D84" s="1"/>
      <c r="E84" s="1"/>
      <c r="F84" s="1"/>
      <c r="G84" s="1"/>
      <c r="H84" s="1"/>
      <c r="I84" s="1"/>
    </row>
    <row r="85" spans="2:9" x14ac:dyDescent="0.2">
      <c r="C85" s="307"/>
      <c r="D85" s="1"/>
      <c r="E85" s="1"/>
      <c r="F85" s="307"/>
      <c r="G85" s="307"/>
      <c r="H85" s="307"/>
      <c r="I85" s="307"/>
    </row>
    <row r="86" spans="2:9" x14ac:dyDescent="0.2">
      <c r="C86" s="309" t="str">
        <f>+ENTE!D10</f>
        <v xml:space="preserve">M. EN A.  GONZALO FERREIRA MARTÍNEZ </v>
      </c>
      <c r="D86" s="308"/>
      <c r="E86" s="309"/>
      <c r="F86" s="609" t="str">
        <f>+ENTE!D14</f>
        <v>C.P.  ELDA GRACIELA FLORES HERNÁNDEZ</v>
      </c>
      <c r="G86" s="609"/>
      <c r="H86" s="609"/>
      <c r="I86" s="609"/>
    </row>
    <row r="87" spans="2:9" x14ac:dyDescent="0.2">
      <c r="C87" s="309" t="str">
        <f>+ENTE!D12</f>
        <v>DIRECTOR DE ADMINISTRACIÓN  Y FINANZAS</v>
      </c>
      <c r="D87" s="308"/>
      <c r="E87" s="309"/>
      <c r="F87" s="610" t="str">
        <f>+ENTE!D16</f>
        <v>JEFA DEL DEPARTAMENTO DE ADMINISTRACIÓN FINANCIERA</v>
      </c>
      <c r="G87" s="610"/>
      <c r="H87" s="610"/>
      <c r="I87" s="610"/>
    </row>
    <row r="88" spans="2:9" x14ac:dyDescent="0.2">
      <c r="C88" s="1"/>
      <c r="D88" s="309"/>
      <c r="E88" s="1"/>
      <c r="F88" s="1"/>
      <c r="G88" s="610"/>
      <c r="H88" s="610"/>
      <c r="I88" s="610"/>
    </row>
  </sheetData>
  <sheetProtection algorithmName="SHA-512" hashValue="Qt9Ff8kX3DI07rXZOs83VQqB/WRPJwn+9zRlRlVvKcle7yqjNeR7m2S66QC4yA70vX0rZhnroXRQtDU6CWAqGg==" saltValue="T5eUaGA+nu0c3sjonkpIRg==" spinCount="100000" sheet="1" objects="1" scenarios="1"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78:H78"/>
    <mergeCell ref="B80:H80"/>
    <mergeCell ref="G88:I88"/>
    <mergeCell ref="F86:I86"/>
    <mergeCell ref="F87:I87"/>
    <mergeCell ref="B79:I79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Normal="80" zoomScaleSheetLayoutView="100" workbookViewId="0">
      <selection activeCell="C17" sqref="C17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5703125" style="202" bestFit="1" customWidth="1"/>
    <col min="6" max="6" width="15.5703125" style="202" bestFit="1" customWidth="1"/>
    <col min="7" max="7" width="11.28515625" style="202" bestFit="1" customWidth="1"/>
    <col min="8" max="8" width="19.85546875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637"/>
      <c r="C2" s="637"/>
      <c r="D2" s="637"/>
      <c r="E2" s="637"/>
      <c r="F2" s="637"/>
      <c r="G2" s="637"/>
      <c r="H2" s="637"/>
      <c r="I2" s="281"/>
    </row>
    <row r="3" spans="1:9" x14ac:dyDescent="0.2">
      <c r="B3" s="621" t="s">
        <v>638</v>
      </c>
      <c r="C3" s="621"/>
      <c r="D3" s="621"/>
      <c r="E3" s="621"/>
      <c r="F3" s="621"/>
      <c r="G3" s="621"/>
      <c r="H3" s="621"/>
    </row>
    <row r="4" spans="1:9" x14ac:dyDescent="0.2">
      <c r="B4" s="621" t="s">
        <v>640</v>
      </c>
      <c r="C4" s="621"/>
      <c r="D4" s="621"/>
      <c r="E4" s="621"/>
      <c r="F4" s="621"/>
      <c r="G4" s="621"/>
      <c r="H4" s="621"/>
    </row>
    <row r="5" spans="1:9" x14ac:dyDescent="0.2">
      <c r="B5" s="621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1"/>
      <c r="D5" s="621"/>
      <c r="E5" s="621"/>
      <c r="F5" s="621"/>
      <c r="G5" s="621"/>
      <c r="H5" s="621"/>
    </row>
    <row r="6" spans="1:9" x14ac:dyDescent="0.2">
      <c r="B6" s="621" t="s">
        <v>92</v>
      </c>
      <c r="C6" s="621"/>
      <c r="D6" s="621"/>
      <c r="E6" s="621"/>
      <c r="F6" s="621"/>
      <c r="G6" s="621"/>
      <c r="H6" s="621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629" t="str">
        <f>+ENTE!D8</f>
        <v xml:space="preserve">UNIVERSIDAD TECNOLÓGICA DE SAN JUAN DEL RÍO </v>
      </c>
      <c r="D8" s="629"/>
      <c r="E8" s="629"/>
      <c r="F8" s="629"/>
      <c r="G8" s="629"/>
      <c r="H8" s="299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645" t="s">
        <v>393</v>
      </c>
      <c r="C10" s="647" t="s">
        <v>494</v>
      </c>
      <c r="D10" s="647"/>
      <c r="E10" s="647"/>
      <c r="F10" s="647"/>
      <c r="G10" s="647"/>
      <c r="H10" s="647" t="s">
        <v>645</v>
      </c>
    </row>
    <row r="11" spans="1:9" ht="33" customHeight="1" x14ac:dyDescent="0.2">
      <c r="B11" s="646"/>
      <c r="C11" s="215" t="s">
        <v>495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647"/>
    </row>
    <row r="12" spans="1:9" x14ac:dyDescent="0.2">
      <c r="B12" s="204"/>
      <c r="C12" s="217"/>
      <c r="D12" s="217"/>
      <c r="E12" s="218"/>
      <c r="F12" s="219"/>
      <c r="G12" s="219"/>
      <c r="H12" s="224"/>
    </row>
    <row r="13" spans="1:9" x14ac:dyDescent="0.2">
      <c r="B13" s="208" t="s">
        <v>571</v>
      </c>
      <c r="C13" s="643">
        <f>SUM(C15:C22)</f>
        <v>0</v>
      </c>
      <c r="D13" s="643">
        <f>SUM(D15:D22)</f>
        <v>0</v>
      </c>
      <c r="E13" s="644">
        <f>SUM(E15:E22)</f>
        <v>0</v>
      </c>
      <c r="F13" s="642">
        <f>SUM(F15:F22)</f>
        <v>0</v>
      </c>
      <c r="G13" s="642">
        <f>SUM(G15:G22)</f>
        <v>0</v>
      </c>
      <c r="H13" s="642">
        <f>+E13-F13</f>
        <v>0</v>
      </c>
    </row>
    <row r="14" spans="1:9" s="207" customFormat="1" x14ac:dyDescent="0.2">
      <c r="A14" s="200"/>
      <c r="B14" s="208" t="s">
        <v>572</v>
      </c>
      <c r="C14" s="643"/>
      <c r="D14" s="643"/>
      <c r="E14" s="644"/>
      <c r="F14" s="642"/>
      <c r="G14" s="642"/>
      <c r="H14" s="642"/>
      <c r="I14" s="200"/>
    </row>
    <row r="15" spans="1:9" x14ac:dyDescent="0.2">
      <c r="B15" s="551" t="s">
        <v>573</v>
      </c>
      <c r="C15" s="229"/>
      <c r="D15" s="229"/>
      <c r="E15" s="230"/>
      <c r="F15" s="247"/>
      <c r="G15" s="247"/>
      <c r="H15" s="224">
        <f>+E15-F15</f>
        <v>0</v>
      </c>
    </row>
    <row r="16" spans="1:9" x14ac:dyDescent="0.2">
      <c r="B16" s="551" t="s">
        <v>574</v>
      </c>
      <c r="C16" s="229"/>
      <c r="D16" s="229"/>
      <c r="E16" s="230"/>
      <c r="F16" s="247"/>
      <c r="G16" s="247"/>
      <c r="H16" s="224">
        <f t="shared" ref="H16:H22" si="0">+E16-F16</f>
        <v>0</v>
      </c>
    </row>
    <row r="17" spans="2:8" x14ac:dyDescent="0.2">
      <c r="B17" s="551" t="s">
        <v>575</v>
      </c>
      <c r="C17" s="229"/>
      <c r="D17" s="229"/>
      <c r="E17" s="230"/>
      <c r="F17" s="247"/>
      <c r="G17" s="247"/>
      <c r="H17" s="224">
        <f t="shared" si="0"/>
        <v>0</v>
      </c>
    </row>
    <row r="18" spans="2:8" x14ac:dyDescent="0.2">
      <c r="B18" s="551" t="s">
        <v>576</v>
      </c>
      <c r="C18" s="229"/>
      <c r="D18" s="229"/>
      <c r="E18" s="230"/>
      <c r="F18" s="247"/>
      <c r="G18" s="247"/>
      <c r="H18" s="224">
        <f t="shared" si="0"/>
        <v>0</v>
      </c>
    </row>
    <row r="19" spans="2:8" x14ac:dyDescent="0.2">
      <c r="B19" s="551" t="s">
        <v>577</v>
      </c>
      <c r="C19" s="229"/>
      <c r="D19" s="229"/>
      <c r="E19" s="230"/>
      <c r="F19" s="247"/>
      <c r="G19" s="247"/>
      <c r="H19" s="224">
        <f t="shared" si="0"/>
        <v>0</v>
      </c>
    </row>
    <row r="20" spans="2:8" x14ac:dyDescent="0.2">
      <c r="B20" s="551" t="s">
        <v>578</v>
      </c>
      <c r="C20" s="249"/>
      <c r="D20" s="249"/>
      <c r="E20" s="251"/>
      <c r="F20" s="248"/>
      <c r="G20" s="248"/>
      <c r="H20" s="224">
        <f t="shared" si="0"/>
        <v>0</v>
      </c>
    </row>
    <row r="21" spans="2:8" x14ac:dyDescent="0.2">
      <c r="B21" s="551" t="s">
        <v>579</v>
      </c>
      <c r="C21" s="229"/>
      <c r="D21" s="229"/>
      <c r="E21" s="230"/>
      <c r="F21" s="247"/>
      <c r="G21" s="247"/>
      <c r="H21" s="224">
        <f t="shared" si="0"/>
        <v>0</v>
      </c>
    </row>
    <row r="22" spans="2:8" x14ac:dyDescent="0.2">
      <c r="B22" s="551" t="s">
        <v>580</v>
      </c>
      <c r="C22" s="229"/>
      <c r="D22" s="229"/>
      <c r="E22" s="230"/>
      <c r="F22" s="247"/>
      <c r="G22" s="247"/>
      <c r="H22" s="224">
        <f t="shared" si="0"/>
        <v>0</v>
      </c>
    </row>
    <row r="23" spans="2:8" x14ac:dyDescent="0.2">
      <c r="B23" s="204"/>
      <c r="C23" s="220"/>
      <c r="D23" s="220"/>
      <c r="E23" s="231"/>
      <c r="F23" s="224"/>
      <c r="G23" s="224"/>
      <c r="H23" s="224"/>
    </row>
    <row r="24" spans="2:8" x14ac:dyDescent="0.2">
      <c r="B24" s="208" t="s">
        <v>581</v>
      </c>
      <c r="C24" s="643">
        <f>SUM(C26:C33)</f>
        <v>0</v>
      </c>
      <c r="D24" s="643">
        <f>SUM(D26:D33)</f>
        <v>0</v>
      </c>
      <c r="E24" s="644">
        <f>SUM(E26:E33)</f>
        <v>0</v>
      </c>
      <c r="F24" s="642">
        <f>SUM(F26:F33)</f>
        <v>0</v>
      </c>
      <c r="G24" s="642">
        <f>SUM(G26:G33)</f>
        <v>0</v>
      </c>
      <c r="H24" s="642">
        <f>+E24-F24</f>
        <v>0</v>
      </c>
    </row>
    <row r="25" spans="2:8" x14ac:dyDescent="0.2">
      <c r="B25" s="208" t="s">
        <v>572</v>
      </c>
      <c r="C25" s="643"/>
      <c r="D25" s="643"/>
      <c r="E25" s="644"/>
      <c r="F25" s="642"/>
      <c r="G25" s="642"/>
      <c r="H25" s="642"/>
    </row>
    <row r="26" spans="2:8" x14ac:dyDescent="0.2">
      <c r="B26" s="551" t="s">
        <v>573</v>
      </c>
      <c r="C26" s="229"/>
      <c r="D26" s="229"/>
      <c r="E26" s="230"/>
      <c r="F26" s="247"/>
      <c r="G26" s="247"/>
      <c r="H26" s="224">
        <f>+E26-F26</f>
        <v>0</v>
      </c>
    </row>
    <row r="27" spans="2:8" x14ac:dyDescent="0.2">
      <c r="B27" s="551" t="s">
        <v>574</v>
      </c>
      <c r="C27" s="249"/>
      <c r="D27" s="249"/>
      <c r="E27" s="251"/>
      <c r="F27" s="248"/>
      <c r="G27" s="248"/>
      <c r="H27" s="224">
        <f t="shared" ref="H27:H33" si="1">+E27-F27</f>
        <v>0</v>
      </c>
    </row>
    <row r="28" spans="2:8" x14ac:dyDescent="0.2">
      <c r="B28" s="551" t="s">
        <v>575</v>
      </c>
      <c r="C28" s="229"/>
      <c r="D28" s="229"/>
      <c r="E28" s="230"/>
      <c r="F28" s="247"/>
      <c r="G28" s="247"/>
      <c r="H28" s="224">
        <f t="shared" si="1"/>
        <v>0</v>
      </c>
    </row>
    <row r="29" spans="2:8" x14ac:dyDescent="0.2">
      <c r="B29" s="551" t="s">
        <v>576</v>
      </c>
      <c r="C29" s="249"/>
      <c r="D29" s="249"/>
      <c r="E29" s="251"/>
      <c r="F29" s="248"/>
      <c r="G29" s="248"/>
      <c r="H29" s="224">
        <f t="shared" si="1"/>
        <v>0</v>
      </c>
    </row>
    <row r="30" spans="2:8" x14ac:dyDescent="0.2">
      <c r="B30" s="551" t="s">
        <v>577</v>
      </c>
      <c r="C30" s="229"/>
      <c r="D30" s="229"/>
      <c r="E30" s="230"/>
      <c r="F30" s="247"/>
      <c r="G30" s="247"/>
      <c r="H30" s="224">
        <f t="shared" si="1"/>
        <v>0</v>
      </c>
    </row>
    <row r="31" spans="2:8" x14ac:dyDescent="0.2">
      <c r="B31" s="551" t="s">
        <v>578</v>
      </c>
      <c r="C31" s="229"/>
      <c r="D31" s="229"/>
      <c r="E31" s="230"/>
      <c r="F31" s="247"/>
      <c r="G31" s="247"/>
      <c r="H31" s="224">
        <f t="shared" si="1"/>
        <v>0</v>
      </c>
    </row>
    <row r="32" spans="2:8" x14ac:dyDescent="0.2">
      <c r="B32" s="551" t="s">
        <v>579</v>
      </c>
      <c r="C32" s="229"/>
      <c r="D32" s="229"/>
      <c r="E32" s="230"/>
      <c r="F32" s="247"/>
      <c r="G32" s="247"/>
      <c r="H32" s="224">
        <f t="shared" si="1"/>
        <v>0</v>
      </c>
    </row>
    <row r="33" spans="1:9" x14ac:dyDescent="0.2">
      <c r="B33" s="551" t="s">
        <v>580</v>
      </c>
      <c r="C33" s="229"/>
      <c r="D33" s="229"/>
      <c r="E33" s="230"/>
      <c r="F33" s="247"/>
      <c r="G33" s="247"/>
      <c r="H33" s="224">
        <f t="shared" si="1"/>
        <v>0</v>
      </c>
    </row>
    <row r="34" spans="1:9" x14ac:dyDescent="0.2">
      <c r="B34" s="233"/>
      <c r="C34" s="223"/>
      <c r="D34" s="223"/>
      <c r="E34" s="221"/>
      <c r="F34" s="234"/>
      <c r="G34" s="234"/>
      <c r="H34" s="234"/>
    </row>
    <row r="35" spans="1:9" x14ac:dyDescent="0.2">
      <c r="B35" s="208" t="s">
        <v>569</v>
      </c>
      <c r="C35" s="225">
        <f>+C13+C24</f>
        <v>0</v>
      </c>
      <c r="D35" s="225">
        <f t="shared" ref="D35:G35" si="2">+D13+D24</f>
        <v>0</v>
      </c>
      <c r="E35" s="226">
        <f t="shared" si="2"/>
        <v>0</v>
      </c>
      <c r="F35" s="228">
        <f t="shared" si="2"/>
        <v>0</v>
      </c>
      <c r="G35" s="228">
        <f t="shared" si="2"/>
        <v>0</v>
      </c>
      <c r="H35" s="228">
        <f>+E35-F35</f>
        <v>0</v>
      </c>
    </row>
    <row r="36" spans="1:9" x14ac:dyDescent="0.2">
      <c r="B36" s="204"/>
      <c r="C36" s="220"/>
      <c r="D36" s="220"/>
      <c r="E36" s="231"/>
      <c r="F36" s="224"/>
      <c r="G36" s="224"/>
      <c r="H36" s="224"/>
    </row>
    <row r="37" spans="1:9" x14ac:dyDescent="0.2">
      <c r="B37" s="204"/>
      <c r="C37" s="220"/>
      <c r="D37" s="220"/>
      <c r="E37" s="231"/>
      <c r="F37" s="224"/>
      <c r="G37" s="224"/>
      <c r="H37" s="224"/>
    </row>
    <row r="38" spans="1:9" x14ac:dyDescent="0.2">
      <c r="B38" s="237"/>
      <c r="C38" s="237"/>
      <c r="D38" s="237"/>
      <c r="E38" s="252"/>
      <c r="F38" s="240"/>
      <c r="G38" s="240"/>
      <c r="H38" s="240"/>
    </row>
    <row r="39" spans="1:9" x14ac:dyDescent="0.2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9" x14ac:dyDescent="0.2">
      <c r="A40" s="201"/>
      <c r="B40" s="613" t="s">
        <v>149</v>
      </c>
      <c r="C40" s="613"/>
      <c r="D40" s="613"/>
      <c r="E40" s="613"/>
      <c r="F40" s="613"/>
      <c r="G40" s="613"/>
      <c r="H40" s="613"/>
      <c r="I40" s="201"/>
    </row>
    <row r="41" spans="1:9" x14ac:dyDescent="0.2">
      <c r="A41" s="201"/>
      <c r="B41" s="201"/>
      <c r="C41" s="201"/>
      <c r="D41" s="201"/>
      <c r="E41" s="201"/>
      <c r="F41" s="201"/>
      <c r="G41" s="201"/>
      <c r="H41" s="201"/>
      <c r="I41" s="201"/>
    </row>
    <row r="42" spans="1:9" x14ac:dyDescent="0.2">
      <c r="A42" s="201"/>
      <c r="B42" s="201"/>
      <c r="C42" s="201"/>
      <c r="D42" s="201"/>
      <c r="E42" s="201"/>
      <c r="F42" s="201"/>
      <c r="G42" s="201"/>
      <c r="H42" s="201"/>
      <c r="I42" s="201"/>
    </row>
    <row r="43" spans="1:9" x14ac:dyDescent="0.2">
      <c r="A43" s="201"/>
      <c r="B43" s="203"/>
      <c r="C43" s="203"/>
      <c r="D43" s="203"/>
      <c r="E43" s="203"/>
      <c r="F43" s="203"/>
      <c r="G43" s="203"/>
      <c r="H43" s="203"/>
      <c r="I43" s="201"/>
    </row>
    <row r="44" spans="1:9" x14ac:dyDescent="0.2">
      <c r="A44" s="201"/>
      <c r="B44" s="203"/>
      <c r="C44" s="203"/>
      <c r="D44" s="203"/>
      <c r="E44" s="203"/>
      <c r="F44" s="203"/>
      <c r="G44" s="203"/>
      <c r="H44" s="203"/>
      <c r="I44" s="201"/>
    </row>
    <row r="45" spans="1:9" x14ac:dyDescent="0.2">
      <c r="A45" s="201"/>
      <c r="B45" s="203"/>
      <c r="C45" s="203"/>
      <c r="D45" s="203"/>
      <c r="E45" s="203"/>
      <c r="F45" s="203"/>
      <c r="G45" s="203"/>
      <c r="H45" s="203"/>
      <c r="I45" s="201"/>
    </row>
    <row r="46" spans="1:9" x14ac:dyDescent="0.2">
      <c r="A46" s="201"/>
      <c r="B46" s="306"/>
      <c r="C46" s="306"/>
      <c r="D46" s="203"/>
      <c r="E46" s="306"/>
      <c r="F46" s="306"/>
      <c r="G46" s="306"/>
      <c r="H46" s="306"/>
      <c r="I46" s="201"/>
    </row>
    <row r="47" spans="1:9" x14ac:dyDescent="0.2">
      <c r="A47" s="201"/>
      <c r="B47" s="636" t="str">
        <f>+ENTE!D10</f>
        <v xml:space="preserve">M. EN A.  GONZALO FERREIRA MARTÍNEZ </v>
      </c>
      <c r="C47" s="636"/>
      <c r="D47" s="203"/>
      <c r="E47" s="636" t="str">
        <f>+ENTE!D14</f>
        <v>C.P.  ELDA GRACIELA FLORES HERNÁNDEZ</v>
      </c>
      <c r="F47" s="636"/>
      <c r="G47" s="636"/>
      <c r="H47" s="636"/>
      <c r="I47" s="201"/>
    </row>
    <row r="48" spans="1:9" x14ac:dyDescent="0.2">
      <c r="A48" s="201"/>
      <c r="B48" s="621" t="str">
        <f>+ENTE!D12</f>
        <v>DIRECTOR DE ADMINISTRACIÓN  Y FINANZAS</v>
      </c>
      <c r="C48" s="621"/>
      <c r="D48" s="203"/>
      <c r="E48" s="621" t="str">
        <f>+ENTE!D16</f>
        <v>JEFA DEL DEPARTAMENTO DE ADMINISTRACIÓN FINANCIERA</v>
      </c>
      <c r="F48" s="621"/>
      <c r="G48" s="621"/>
      <c r="H48" s="621"/>
      <c r="I48" s="201"/>
    </row>
    <row r="49" spans="1:9" x14ac:dyDescent="0.2">
      <c r="A49" s="201"/>
      <c r="B49" s="203"/>
      <c r="C49" s="203"/>
      <c r="D49" s="203"/>
      <c r="E49" s="203"/>
      <c r="F49" s="203"/>
      <c r="G49" s="203"/>
      <c r="H49" s="203"/>
      <c r="I49" s="201"/>
    </row>
  </sheetData>
  <sheetProtection algorithmName="SHA-512" hashValue="N4CyMGUMwQ9n1ioKmg6/mhyul79ZOcuwjrpSTy32nxhjsLf5mLaCT+99Fw5J6CuZ1DBPnkikYNknp11wGu7Jaw==" saltValue="8Q6Ui3ukB4TIRYyet0nlgg==" spinCount="100000" sheet="1" objects="1" scenarios="1"/>
  <mergeCells count="26"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H24:H25"/>
    <mergeCell ref="C13:C14"/>
    <mergeCell ref="D13:D14"/>
    <mergeCell ref="E13:E14"/>
    <mergeCell ref="F13:F14"/>
    <mergeCell ref="G13:G14"/>
    <mergeCell ref="H13:H14"/>
    <mergeCell ref="C24:C25"/>
    <mergeCell ref="D24:D25"/>
    <mergeCell ref="E24:E25"/>
    <mergeCell ref="F24:F25"/>
    <mergeCell ref="G24:G25"/>
    <mergeCell ref="B40:H40"/>
    <mergeCell ref="B47:C47"/>
    <mergeCell ref="B48:C48"/>
    <mergeCell ref="E48:H48"/>
    <mergeCell ref="E47:H4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8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RENDICIÓN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comprasalm</cp:lastModifiedBy>
  <cp:lastPrinted>2017-04-28T19:04:09Z</cp:lastPrinted>
  <dcterms:created xsi:type="dcterms:W3CDTF">2017-01-27T17:28:16Z</dcterms:created>
  <dcterms:modified xsi:type="dcterms:W3CDTF">2017-05-02T15:28:27Z</dcterms:modified>
</cp:coreProperties>
</file>